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8070" yWindow="15" windowWidth="7080" windowHeight="10095" activeTab="0"/>
  </bookViews>
  <sheets>
    <sheet name="Regnskab " sheetId="4" r:id="rId1"/>
    <sheet name="Lokalråd 2020" sheetId="8" r:id="rId2"/>
    <sheet name="Bogføring" sheetId="1" r:id="rId3"/>
    <sheet name="Kontoplan" sheetId="3" r:id="rId4"/>
    <sheet name="Øl-smagning" sheetId="10" state="hidden" r:id="rId5"/>
  </sheets>
  <definedNames>
    <definedName name="_xlnm._FilterDatabase" localSheetId="2" hidden="1">'Bogføring'!$A$6:$I$138</definedName>
    <definedName name="KontoInd">'Kontoplan'!$D$6:$D$16</definedName>
    <definedName name="KontoUd">'Kontoplan'!$D$19:$D$34</definedName>
    <definedName name="Kontovalg">'Kontoplan'!$C$2:$D$3</definedName>
    <definedName name="_xlnm.Print_Area" localSheetId="2">'Bogføring'!$A:$H</definedName>
    <definedName name="_xlnm.Print_Area" localSheetId="0">'Regnskab '!$A$2:$H$38</definedName>
    <definedName name="_xlnm.Print_Titles" localSheetId="2">'Bogføring'!$1:$3</definedName>
  </definedNames>
  <calcPr calcId="125725"/>
</workbook>
</file>

<file path=xl/sharedStrings.xml><?xml version="1.0" encoding="utf-8"?>
<sst xmlns="http://schemas.openxmlformats.org/spreadsheetml/2006/main" count="441" uniqueCount="187">
  <si>
    <t>Kontanter</t>
  </si>
  <si>
    <t>Bank</t>
  </si>
  <si>
    <t>Dato</t>
  </si>
  <si>
    <t>Bilag</t>
  </si>
  <si>
    <t>Varens eller ydelsens art</t>
  </si>
  <si>
    <t>Indtægter</t>
  </si>
  <si>
    <t>Udgifter</t>
  </si>
  <si>
    <t>Konto</t>
  </si>
  <si>
    <t>Indtægter:</t>
  </si>
  <si>
    <t>Aktiver:</t>
  </si>
  <si>
    <t>Kontingent</t>
  </si>
  <si>
    <t>Aktiver i alt</t>
  </si>
  <si>
    <t>Passiver:</t>
  </si>
  <si>
    <t>I alt</t>
  </si>
  <si>
    <t>Udgifter:</t>
  </si>
  <si>
    <t>Passiver i alt</t>
  </si>
  <si>
    <t>Egenkapital primo</t>
  </si>
  <si>
    <t>Egenkapital ultimo</t>
  </si>
  <si>
    <t>Overskud</t>
  </si>
  <si>
    <t>Kontoplan</t>
  </si>
  <si>
    <t>Tekst</t>
  </si>
  <si>
    <t>Bogført</t>
  </si>
  <si>
    <t>Forsikring</t>
  </si>
  <si>
    <t>Beholdning ved start</t>
  </si>
  <si>
    <t>Slutbeholdning</t>
  </si>
  <si>
    <t>Balance</t>
  </si>
  <si>
    <t>Kontovalg</t>
  </si>
  <si>
    <t>KontoInd</t>
  </si>
  <si>
    <t>KontoUd</t>
  </si>
  <si>
    <t>I/U</t>
  </si>
  <si>
    <t>I</t>
  </si>
  <si>
    <t>U</t>
  </si>
  <si>
    <t>Regnskabstekst</t>
  </si>
  <si>
    <t>Annoncer</t>
  </si>
  <si>
    <t xml:space="preserve">Regnskab udarbejdet af </t>
  </si>
  <si>
    <t>Godkendt af revisor</t>
  </si>
  <si>
    <t xml:space="preserve">Den </t>
  </si>
  <si>
    <t>Resultat</t>
  </si>
  <si>
    <t>Terndrup Borgerforening</t>
  </si>
  <si>
    <t>Flag</t>
  </si>
  <si>
    <t>Madhold</t>
  </si>
  <si>
    <t>Diverse indtægter</t>
  </si>
  <si>
    <t>Renter/gebyr</t>
  </si>
  <si>
    <t>Bankospil hjemmet</t>
  </si>
  <si>
    <t>Møder, generalforsamling</t>
  </si>
  <si>
    <t>Tryksager, kontorart.</t>
  </si>
  <si>
    <t>Gaver mm.</t>
  </si>
  <si>
    <t>Diverse</t>
  </si>
  <si>
    <t>Mølleskoven</t>
  </si>
  <si>
    <t>Spar Nord</t>
  </si>
  <si>
    <t>Kontantbeholdning</t>
  </si>
  <si>
    <t>Spar Nord aktie</t>
  </si>
  <si>
    <t>Foreningsel</t>
  </si>
  <si>
    <t>Udlæg Lokalrådet</t>
  </si>
  <si>
    <t>Udligning udlæg Lokalråd</t>
  </si>
  <si>
    <t>Gebyr</t>
  </si>
  <si>
    <t>Indtægt banko+ pensioniststøttefonden</t>
  </si>
  <si>
    <t>Helle Ravn</t>
  </si>
  <si>
    <t>U Bankospil hjemmet</t>
  </si>
  <si>
    <t>Fællesspisning</t>
  </si>
  <si>
    <t>U Annoncer</t>
  </si>
  <si>
    <t>Møde hos Jacob</t>
  </si>
  <si>
    <t>Mortensspil</t>
  </si>
  <si>
    <t>U Udlæg Lokalrådet</t>
  </si>
  <si>
    <t>Skyldigt beløb til borgerforeningen</t>
  </si>
  <si>
    <t>Overført rest pulje</t>
  </si>
  <si>
    <t>Klostertur</t>
  </si>
  <si>
    <t xml:space="preserve">Ølsmagning </t>
  </si>
  <si>
    <t>Indtægter fra entre og barsalg</t>
  </si>
  <si>
    <t>Niels Tikjøb Olsen</t>
  </si>
  <si>
    <t>Fadøl</t>
  </si>
  <si>
    <t>Madvarer</t>
  </si>
  <si>
    <t>Drikkevarer, brugsen</t>
  </si>
  <si>
    <t>Divese, brugsen</t>
  </si>
  <si>
    <t>Lokaleleje</t>
  </si>
  <si>
    <t>Tilgodehavender</t>
  </si>
  <si>
    <t>Lokalråd</t>
  </si>
  <si>
    <t>Restpulje</t>
  </si>
  <si>
    <t>Driftsregnskab for 2020</t>
  </si>
  <si>
    <t>Status pr. 31.12.2020</t>
  </si>
  <si>
    <t>Spar Købmanden, banko</t>
  </si>
  <si>
    <t>Kasserapport for 2020</t>
  </si>
  <si>
    <t>Print og Grafik, udskifning annonce</t>
  </si>
  <si>
    <t>I Kontingent</t>
  </si>
  <si>
    <t>Madhold Mobile pay</t>
  </si>
  <si>
    <t>I Madhold</t>
  </si>
  <si>
    <t>Gebyr Mobilepay</t>
  </si>
  <si>
    <t>U Gebyr</t>
  </si>
  <si>
    <t>Indtægt Ølsmagning - Mobilepay</t>
  </si>
  <si>
    <t>Indtægt Ølsmagning kontant</t>
  </si>
  <si>
    <t>U Møder, generalforsamling</t>
  </si>
  <si>
    <t>Madhold kontant</t>
  </si>
  <si>
    <t>Ølsmagning/klostertur</t>
  </si>
  <si>
    <t>I Ølsmagning/klostertur</t>
  </si>
  <si>
    <t>Udlæg hanne - Mad ølsmagning</t>
  </si>
  <si>
    <t>Indsat i bank</t>
  </si>
  <si>
    <t>Madhol - kontant</t>
  </si>
  <si>
    <t>U Ølsmagning/klostertur</t>
  </si>
  <si>
    <t>Center Pubben, ølsmagning</t>
  </si>
  <si>
    <t>Niels Tikjøb, ølsmagning</t>
  </si>
  <si>
    <t>Vin i overskud solgt til Ivan</t>
  </si>
  <si>
    <t>Indtægt Ølsmagning, 3F</t>
  </si>
  <si>
    <t>KBS containerservice</t>
  </si>
  <si>
    <t>U Mølleskoven</t>
  </si>
  <si>
    <t>Tilskud fra Tryg til masker til hjertestarter</t>
  </si>
  <si>
    <t>I Diverse indtægter</t>
  </si>
  <si>
    <t>KBS, grus Mølleskoven</t>
  </si>
  <si>
    <t>tryg, bygningsforsikring</t>
  </si>
  <si>
    <t>U Forsikring</t>
  </si>
  <si>
    <t>Tryg, erhvervsforsikring</t>
  </si>
  <si>
    <t>Brugsen, ølsmagning</t>
  </si>
  <si>
    <t>Madhold - hanne</t>
  </si>
  <si>
    <t>U Madhold</t>
  </si>
  <si>
    <t>Nets, nøglekort</t>
  </si>
  <si>
    <t>Medlemskontigent Terndrup medborgerhus</t>
  </si>
  <si>
    <t>U Diverse</t>
  </si>
  <si>
    <t>Torben udlæg til flag</t>
  </si>
  <si>
    <t>Ivan udlæg formandsmøde</t>
  </si>
  <si>
    <t>Formandshonorar 2019</t>
  </si>
  <si>
    <t>Print og Grafik, tryk nyhedsbrev</t>
  </si>
  <si>
    <t>U Tryksager, kontorart.</t>
  </si>
  <si>
    <t>Nordjysk El og Alarm, flytning af infoskærm</t>
  </si>
  <si>
    <t>Nordjyske, annonce generalforsamling</t>
  </si>
  <si>
    <t>Gebyr bank</t>
  </si>
  <si>
    <t>Kongerslev Trælast, til flaghuller</t>
  </si>
  <si>
    <t>Print og Grafik, Løsblad hjertestop</t>
  </si>
  <si>
    <t>Netbank abonnement</t>
  </si>
  <si>
    <t xml:space="preserve">Blomsterstuen, gavekurv </t>
  </si>
  <si>
    <t>U Gaver mm.</t>
  </si>
  <si>
    <t>Bauhaus, kost mv til mølleskoven</t>
  </si>
  <si>
    <t>Kongerslev trælast, Asfalt til flaghuller</t>
  </si>
  <si>
    <t>Brugsen, udlæg Ivan, til møde</t>
  </si>
  <si>
    <t>Gebyr overførsel og FI</t>
  </si>
  <si>
    <t>Tryg arbejdsskadeforsikring</t>
  </si>
  <si>
    <t>Print og Grafik, abon. for web-adresse</t>
  </si>
  <si>
    <t>TIF, hjemmeside</t>
  </si>
  <si>
    <t>Lokalrådets andel af møder 2019</t>
  </si>
  <si>
    <t>I Udligning udlæg Lokalråd</t>
  </si>
  <si>
    <t>Telmore</t>
  </si>
  <si>
    <t>Gave Jacob - 70 år</t>
  </si>
  <si>
    <t>Bauhaus, rep.dele til flag</t>
  </si>
  <si>
    <t>Drikkevarer til møder</t>
  </si>
  <si>
    <t>Mobilepay abon. Maj-juli</t>
  </si>
  <si>
    <t>I Fællesspisning</t>
  </si>
  <si>
    <t>Indtægt generalforsamling/fællessp.</t>
  </si>
  <si>
    <t>Bonus Tryghedsgruppen</t>
  </si>
  <si>
    <t>Salg af træ fra Mølleskoven</t>
  </si>
  <si>
    <t>Kontingent Birgit Øster</t>
  </si>
  <si>
    <t>AB Catering udlæg Hanne</t>
  </si>
  <si>
    <t>Møde hos Hanne i sept.</t>
  </si>
  <si>
    <t>Møde hos Ivan</t>
  </si>
  <si>
    <t>Udlæg Helle Bog og Ide</t>
  </si>
  <si>
    <t>Gebyr Dankort</t>
  </si>
  <si>
    <t>Superbrugsen</t>
  </si>
  <si>
    <t>Retur fra Klynge Øst , bet. Fra lokalråd</t>
  </si>
  <si>
    <t>Indtægt for bog om Terndrup Sygehus</t>
  </si>
  <si>
    <t>Kontingent Ådalen 51</t>
  </si>
  <si>
    <t>Terndrup Kro, mad til møde</t>
  </si>
  <si>
    <t>Juleblomst til Terndrup Ældrecenter</t>
  </si>
  <si>
    <t>Nordjysk El, Lyskæder til juletræ</t>
  </si>
  <si>
    <t>Indb. Fra Ole Dittmann</t>
  </si>
  <si>
    <t>Udlæg Ivan, julegaver</t>
  </si>
  <si>
    <t>Udlæg Ivan, diverse til juletræ</t>
  </si>
  <si>
    <t>Udlejning af flag</t>
  </si>
  <si>
    <t>I Flag</t>
  </si>
  <si>
    <t>Formandshonorar 2020</t>
  </si>
  <si>
    <t>Tilskud pensioniststøttefonden 2021</t>
  </si>
  <si>
    <t>I Indtægt banko+ pensioniststøttefonden</t>
  </si>
  <si>
    <t>Print og Grafik Info annonce årsabon</t>
  </si>
  <si>
    <t>Renter</t>
  </si>
  <si>
    <t>Indtægter 2020</t>
  </si>
  <si>
    <t>Tilskud 2020</t>
  </si>
  <si>
    <t>SparBrøndum Fond (Tinghuset)</t>
  </si>
  <si>
    <t>Friluftsrådet (Tinghuset)</t>
  </si>
  <si>
    <t>Forbrug 2020</t>
  </si>
  <si>
    <t>Konsulenthonorar, Pia Bonde</t>
  </si>
  <si>
    <t>Terndrup Murerforretning, Tinghaven</t>
  </si>
  <si>
    <t>ASM, bålplads Tinghaven</t>
  </si>
  <si>
    <t>MG Kloak og Anlæg, bålplads Tinghaven</t>
  </si>
  <si>
    <t>Havebord, kalk mv Tinghaven</t>
  </si>
  <si>
    <t>Terndrup Idrætscenter</t>
  </si>
  <si>
    <t>Terndrup Skole, gynger</t>
  </si>
  <si>
    <t>Møder og generalforsamling 2020</t>
  </si>
  <si>
    <t>Renter og gebyr</t>
  </si>
  <si>
    <t>Lokalråd 2020</t>
  </si>
  <si>
    <t>Udlån til Klynge Øst, tilbagebetalt i 2021</t>
  </si>
  <si>
    <t>Saldo bank pr 31/12-2020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</si>
</sst>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Technical"/>
      <family val="2"/>
    </font>
    <font>
      <i/>
      <sz val="10"/>
      <name val="Technical"/>
      <family val="2"/>
    </font>
    <font>
      <i/>
      <sz val="10"/>
      <name val="Arial"/>
      <family val="2"/>
    </font>
    <font>
      <b/>
      <u val="single"/>
      <sz val="10"/>
      <name val="Technical"/>
      <family val="2"/>
    </font>
    <font>
      <b/>
      <sz val="10"/>
      <name val="Technical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8"/>
      <name val="Calibri"/>
      <family val="2"/>
    </font>
    <font>
      <b/>
      <i/>
      <sz val="14"/>
      <color theme="0"/>
      <name val="Technical"/>
      <family val="2"/>
    </font>
    <font>
      <b/>
      <sz val="11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i/>
      <sz val="12"/>
      <name val="Technical"/>
      <family val="2"/>
    </font>
    <font>
      <sz val="12"/>
      <name val="Technical"/>
      <family val="2"/>
    </font>
    <font>
      <i/>
      <sz val="12"/>
      <name val="Technical"/>
      <family val="2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5" fillId="0" borderId="1" xfId="0" applyFont="1" applyBorder="1"/>
    <xf numFmtId="4" fontId="5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6" fillId="0" borderId="0" xfId="20" applyFont="1" applyBorder="1">
      <alignment/>
      <protection/>
    </xf>
    <xf numFmtId="4" fontId="6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8" fillId="0" borderId="0" xfId="20" applyFont="1" applyAlignment="1">
      <alignment horizontal="center"/>
      <protection/>
    </xf>
    <xf numFmtId="0" fontId="1" fillId="0" borderId="0" xfId="20">
      <alignment/>
      <protection/>
    </xf>
    <xf numFmtId="0" fontId="7" fillId="0" borderId="0" xfId="20" applyFont="1" applyBorder="1" applyAlignment="1">
      <alignment horizontal="center"/>
      <protection/>
    </xf>
    <xf numFmtId="0" fontId="9" fillId="0" borderId="0" xfId="20" applyFont="1" applyBorder="1">
      <alignment/>
      <protection/>
    </xf>
    <xf numFmtId="1" fontId="7" fillId="0" borderId="0" xfId="20" applyNumberFormat="1" applyFont="1" applyBorder="1" applyAlignment="1">
      <alignment horizontal="center"/>
      <protection/>
    </xf>
    <xf numFmtId="2" fontId="6" fillId="0" borderId="0" xfId="20" applyNumberFormat="1" applyFont="1" applyBorder="1">
      <alignment/>
      <protection/>
    </xf>
    <xf numFmtId="2" fontId="6" fillId="0" borderId="2" xfId="20" applyNumberFormat="1" applyFont="1" applyBorder="1">
      <alignment/>
      <protection/>
    </xf>
    <xf numFmtId="4" fontId="6" fillId="0" borderId="2" xfId="20" applyNumberFormat="1" applyFont="1" applyBorder="1">
      <alignment/>
      <protection/>
    </xf>
    <xf numFmtId="2" fontId="9" fillId="0" borderId="0" xfId="20" applyNumberFormat="1" applyFont="1" applyBorder="1">
      <alignment/>
      <protection/>
    </xf>
    <xf numFmtId="4" fontId="1" fillId="0" borderId="0" xfId="20" applyNumberFormat="1">
      <alignment/>
      <protection/>
    </xf>
    <xf numFmtId="0" fontId="6" fillId="0" borderId="2" xfId="20" applyFont="1" applyBorder="1">
      <alignment/>
      <protection/>
    </xf>
    <xf numFmtId="0" fontId="10" fillId="0" borderId="3" xfId="20" applyFont="1" applyBorder="1">
      <alignment/>
      <protection/>
    </xf>
    <xf numFmtId="4" fontId="10" fillId="0" borderId="3" xfId="20" applyNumberFormat="1" applyFont="1" applyBorder="1">
      <alignment/>
      <protection/>
    </xf>
    <xf numFmtId="2" fontId="7" fillId="0" borderId="0" xfId="20" applyNumberFormat="1" applyFont="1" applyBorder="1">
      <alignment/>
      <protection/>
    </xf>
    <xf numFmtId="0" fontId="8" fillId="0" borderId="0" xfId="20" applyFont="1">
      <alignment/>
      <protection/>
    </xf>
    <xf numFmtId="4" fontId="0" fillId="0" borderId="0" xfId="0" applyNumberFormat="1"/>
    <xf numFmtId="0" fontId="11" fillId="0" borderId="0" xfId="0" applyFont="1"/>
    <xf numFmtId="0" fontId="12" fillId="0" borderId="0" xfId="0" applyFont="1"/>
    <xf numFmtId="3" fontId="1" fillId="0" borderId="4" xfId="0" applyNumberFormat="1" applyFont="1" applyBorder="1"/>
    <xf numFmtId="3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" fontId="5" fillId="0" borderId="1" xfId="0" applyNumberFormat="1" applyFont="1" applyBorder="1" applyAlignment="1" quotePrefix="1">
      <alignment horizontal="left"/>
    </xf>
    <xf numFmtId="0" fontId="5" fillId="2" borderId="1" xfId="0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16" fontId="0" fillId="0" borderId="1" xfId="0" applyNumberFormat="1" applyBorder="1"/>
    <xf numFmtId="0" fontId="0" fillId="0" borderId="11" xfId="0" applyBorder="1"/>
    <xf numFmtId="4" fontId="0" fillId="0" borderId="11" xfId="0" applyNumberFormat="1" applyBorder="1"/>
    <xf numFmtId="16" fontId="0" fillId="0" borderId="0" xfId="0" applyNumberFormat="1" applyBorder="1"/>
    <xf numFmtId="16" fontId="0" fillId="0" borderId="12" xfId="0" applyNumberFormat="1" applyBorder="1"/>
    <xf numFmtId="4" fontId="5" fillId="3" borderId="1" xfId="0" applyNumberFormat="1" applyFont="1" applyFill="1" applyBorder="1" applyAlignment="1" quotePrefix="1">
      <alignment horizontal="left"/>
    </xf>
    <xf numFmtId="0" fontId="0" fillId="3" borderId="1" xfId="0" applyFill="1" applyBorder="1"/>
    <xf numFmtId="4" fontId="11" fillId="0" borderId="0" xfId="0" applyNumberFormat="1" applyFont="1"/>
    <xf numFmtId="4" fontId="1" fillId="0" borderId="0" xfId="20" applyNumberFormat="1" applyFont="1">
      <alignment/>
      <protection/>
    </xf>
    <xf numFmtId="164" fontId="0" fillId="0" borderId="0" xfId="21" applyNumberFormat="1" applyFont="1"/>
    <xf numFmtId="4" fontId="8" fillId="0" borderId="0" xfId="20" applyNumberFormat="1" applyFont="1" applyAlignment="1">
      <alignment horizontal="center"/>
      <protection/>
    </xf>
    <xf numFmtId="0" fontId="6" fillId="4" borderId="0" xfId="20" applyFont="1" applyFill="1" applyBorder="1">
      <alignment/>
      <protection/>
    </xf>
    <xf numFmtId="0" fontId="6" fillId="4" borderId="0" xfId="20" applyFont="1" applyFill="1" applyBorder="1" applyAlignment="1">
      <alignment horizontal="center" vertical="center"/>
      <protection/>
    </xf>
    <xf numFmtId="4" fontId="6" fillId="4" borderId="0" xfId="20" applyNumberFormat="1" applyFont="1" applyFill="1" applyBorder="1" applyAlignment="1">
      <alignment horizontal="center" vertical="center"/>
      <protection/>
    </xf>
    <xf numFmtId="0" fontId="7" fillId="4" borderId="0" xfId="20" applyFont="1" applyFill="1" applyBorder="1" applyAlignment="1">
      <alignment horizontal="center" vertical="center"/>
      <protection/>
    </xf>
    <xf numFmtId="4" fontId="14" fillId="4" borderId="0" xfId="20" applyNumberFormat="1" applyFont="1" applyFill="1" applyBorder="1" applyAlignment="1">
      <alignment horizontal="right" vertical="center"/>
      <protection/>
    </xf>
    <xf numFmtId="0" fontId="8" fillId="4" borderId="0" xfId="20" applyFont="1" applyFill="1" applyAlignment="1">
      <alignment horizontal="center"/>
      <protection/>
    </xf>
    <xf numFmtId="0" fontId="2" fillId="5" borderId="13" xfId="0" applyFont="1" applyFill="1" applyBorder="1"/>
    <xf numFmtId="0" fontId="2" fillId="5" borderId="14" xfId="0" applyFont="1" applyFill="1" applyBorder="1"/>
    <xf numFmtId="4" fontId="2" fillId="5" borderId="14" xfId="0" applyNumberFormat="1" applyFont="1" applyFill="1" applyBorder="1"/>
    <xf numFmtId="4" fontId="3" fillId="5" borderId="14" xfId="0" applyNumberFormat="1" applyFont="1" applyFill="1" applyBorder="1"/>
    <xf numFmtId="0" fontId="0" fillId="5" borderId="15" xfId="0" applyFill="1" applyBorder="1"/>
    <xf numFmtId="0" fontId="0" fillId="5" borderId="0" xfId="0" applyFill="1" applyBorder="1"/>
    <xf numFmtId="4" fontId="0" fillId="5" borderId="0" xfId="0" applyNumberForma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4" fontId="4" fillId="5" borderId="17" xfId="0" applyNumberFormat="1" applyFont="1" applyFill="1" applyBorder="1"/>
    <xf numFmtId="2" fontId="10" fillId="0" borderId="0" xfId="20" applyNumberFormat="1" applyFont="1" applyBorder="1">
      <alignment/>
      <protection/>
    </xf>
    <xf numFmtId="4" fontId="10" fillId="0" borderId="0" xfId="20" applyNumberFormat="1" applyFont="1" applyBorder="1">
      <alignment/>
      <protection/>
    </xf>
    <xf numFmtId="4" fontId="6" fillId="0" borderId="0" xfId="20" applyNumberFormat="1" applyFont="1" applyBorder="1" applyAlignment="1">
      <alignment horizontal="right"/>
      <protection/>
    </xf>
    <xf numFmtId="0" fontId="15" fillId="0" borderId="0" xfId="0" applyFont="1"/>
    <xf numFmtId="4" fontId="0" fillId="0" borderId="18" xfId="0" applyNumberFormat="1" applyBorder="1"/>
    <xf numFmtId="4" fontId="0" fillId="0" borderId="0" xfId="0" applyNumberFormat="1" applyFill="1" applyBorder="1"/>
    <xf numFmtId="0" fontId="17" fillId="6" borderId="0" xfId="20" applyFont="1" applyFill="1" applyBorder="1" applyAlignment="1">
      <alignment horizontal="left"/>
      <protection/>
    </xf>
    <xf numFmtId="4" fontId="17" fillId="6" borderId="0" xfId="20" applyNumberFormat="1" applyFont="1" applyFill="1" applyBorder="1" applyAlignment="1">
      <alignment horizontal="left"/>
      <protection/>
    </xf>
    <xf numFmtId="4" fontId="18" fillId="6" borderId="0" xfId="20" applyNumberFormat="1" applyFont="1" applyFill="1" applyBorder="1" applyAlignment="1">
      <alignment horizontal="center"/>
      <protection/>
    </xf>
    <xf numFmtId="0" fontId="19" fillId="6" borderId="0" xfId="20" applyFont="1" applyFill="1" applyBorder="1" applyAlignment="1">
      <alignment horizontal="center"/>
      <protection/>
    </xf>
    <xf numFmtId="0" fontId="18" fillId="6" borderId="0" xfId="20" applyFont="1" applyFill="1" applyBorder="1" applyAlignment="1">
      <alignment horizontal="center"/>
      <protection/>
    </xf>
    <xf numFmtId="0" fontId="20" fillId="6" borderId="0" xfId="20" applyFont="1" applyFill="1" applyAlignment="1">
      <alignment horizontal="center"/>
      <protection/>
    </xf>
    <xf numFmtId="0" fontId="15" fillId="0" borderId="1" xfId="0" applyFont="1" applyBorder="1"/>
    <xf numFmtId="4" fontId="15" fillId="0" borderId="1" xfId="0" applyNumberFormat="1" applyFont="1" applyBorder="1"/>
    <xf numFmtId="0" fontId="0" fillId="0" borderId="19" xfId="0" applyFill="1" applyBorder="1"/>
    <xf numFmtId="0" fontId="22" fillId="0" borderId="0" xfId="0" applyFont="1"/>
    <xf numFmtId="0" fontId="22" fillId="0" borderId="0" xfId="0" applyFont="1" applyAlignment="1" quotePrefix="1">
      <alignment horizontal="left"/>
    </xf>
    <xf numFmtId="4" fontId="6" fillId="0" borderId="0" xfId="20" applyNumberFormat="1" applyFont="1" applyBorder="1" applyAlignment="1" quotePrefix="1">
      <alignment horizontal="right"/>
      <protection/>
    </xf>
    <xf numFmtId="0" fontId="6" fillId="0" borderId="0" xfId="20" applyFont="1" applyFill="1" applyBorder="1">
      <alignment/>
      <protection/>
    </xf>
    <xf numFmtId="0" fontId="0" fillId="0" borderId="15" xfId="0" applyBorder="1"/>
    <xf numFmtId="4" fontId="0" fillId="0" borderId="4" xfId="0" applyNumberFormat="1" applyBorder="1"/>
    <xf numFmtId="0" fontId="21" fillId="0" borderId="0" xfId="0" applyFont="1"/>
    <xf numFmtId="164" fontId="15" fillId="0" borderId="0" xfId="21" applyNumberFormat="1" applyFont="1"/>
    <xf numFmtId="164" fontId="0" fillId="0" borderId="18" xfId="21" applyNumberFormat="1" applyFont="1" applyBorder="1"/>
    <xf numFmtId="0" fontId="16" fillId="0" borderId="15" xfId="0" applyFont="1" applyBorder="1"/>
    <xf numFmtId="4" fontId="0" fillId="0" borderId="20" xfId="0" applyNumberFormat="1" applyBorder="1"/>
    <xf numFmtId="0" fontId="15" fillId="0" borderId="15" xfId="0" applyFont="1" applyBorder="1"/>
    <xf numFmtId="4" fontId="15" fillId="0" borderId="0" xfId="0" applyNumberFormat="1" applyFont="1" applyBorder="1"/>
    <xf numFmtId="4" fontId="15" fillId="0" borderId="4" xfId="0" applyNumberFormat="1" applyFont="1" applyBorder="1"/>
    <xf numFmtId="0" fontId="15" fillId="0" borderId="16" xfId="0" applyFont="1" applyBorder="1"/>
    <xf numFmtId="4" fontId="15" fillId="0" borderId="17" xfId="0" applyNumberFormat="1" applyFont="1" applyBorder="1"/>
    <xf numFmtId="4" fontId="15" fillId="0" borderId="21" xfId="0" applyNumberFormat="1" applyFont="1" applyBorder="1"/>
    <xf numFmtId="4" fontId="0" fillId="0" borderId="4" xfId="0" applyNumberFormat="1" applyFill="1" applyBorder="1"/>
    <xf numFmtId="0" fontId="15" fillId="7" borderId="22" xfId="0" applyFont="1" applyFill="1" applyBorder="1" applyAlignment="1">
      <alignment horizontal="center"/>
    </xf>
    <xf numFmtId="0" fontId="15" fillId="7" borderId="23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1000-sep (2 dec)" xfId="21"/>
  </cellStyles>
  <dxfs count="1">
    <dxf>
      <fill>
        <patternFill>
          <bgColor indexed="1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7"/>
  <sheetViews>
    <sheetView tabSelected="1" workbookViewId="0" topLeftCell="A1">
      <selection activeCell="C24" sqref="C24"/>
    </sheetView>
  </sheetViews>
  <sheetFormatPr defaultColWidth="9.140625" defaultRowHeight="15"/>
  <cols>
    <col min="1" max="1" width="36.28125" style="11" customWidth="1"/>
    <col min="2" max="3" width="13.00390625" style="19" customWidth="1"/>
    <col min="4" max="4" width="6.28125" style="24" customWidth="1"/>
    <col min="5" max="5" width="6.28125" style="11" customWidth="1"/>
    <col min="6" max="6" width="28.421875" style="11" customWidth="1"/>
    <col min="7" max="7" width="12.00390625" style="11" customWidth="1"/>
    <col min="8" max="8" width="12.28125" style="11" customWidth="1"/>
    <col min="9" max="9" width="9.8515625" style="10" customWidth="1"/>
    <col min="10" max="10" width="12.28125" style="11" bestFit="1" customWidth="1"/>
    <col min="11" max="11" width="14.28125" style="11" customWidth="1"/>
    <col min="12" max="16384" width="9.140625" style="11" customWidth="1"/>
  </cols>
  <sheetData>
    <row r="1" spans="1:8" ht="15">
      <c r="A1" s="7"/>
      <c r="B1" s="8"/>
      <c r="C1" s="8"/>
      <c r="D1" s="9"/>
      <c r="E1" s="7"/>
      <c r="F1" s="7"/>
      <c r="G1" s="7"/>
      <c r="H1" s="7"/>
    </row>
    <row r="2" spans="1:9" ht="18.75">
      <c r="A2" s="52"/>
      <c r="B2" s="55" t="s">
        <v>38</v>
      </c>
      <c r="C2" s="53"/>
      <c r="D2" s="54"/>
      <c r="E2" s="51"/>
      <c r="F2" s="51"/>
      <c r="G2" s="55" t="s">
        <v>38</v>
      </c>
      <c r="H2" s="51"/>
      <c r="I2" s="56"/>
    </row>
    <row r="3" spans="1:8" ht="15">
      <c r="A3" s="7"/>
      <c r="B3" s="8"/>
      <c r="C3" s="8"/>
      <c r="D3" s="9"/>
      <c r="E3" s="7"/>
      <c r="F3" s="7"/>
      <c r="G3" s="7"/>
      <c r="H3" s="7"/>
    </row>
    <row r="4" spans="1:9" ht="15">
      <c r="A4" s="73" t="s">
        <v>78</v>
      </c>
      <c r="B4" s="74"/>
      <c r="C4" s="75"/>
      <c r="D4" s="76"/>
      <c r="E4" s="77"/>
      <c r="F4" s="73" t="s">
        <v>79</v>
      </c>
      <c r="G4" s="77"/>
      <c r="H4" s="77"/>
      <c r="I4" s="78"/>
    </row>
    <row r="5" spans="1:8" ht="15">
      <c r="A5" s="7"/>
      <c r="B5" s="8"/>
      <c r="C5" s="8"/>
      <c r="D5" s="9"/>
      <c r="E5" s="7"/>
      <c r="F5" s="7"/>
      <c r="G5" s="7"/>
      <c r="H5" s="7"/>
    </row>
    <row r="6" spans="1:11" ht="15">
      <c r="A6" s="13" t="s">
        <v>8</v>
      </c>
      <c r="B6" s="13">
        <v>2019</v>
      </c>
      <c r="C6" s="13">
        <v>2020</v>
      </c>
      <c r="D6" s="12"/>
      <c r="E6" s="7"/>
      <c r="F6" s="13" t="s">
        <v>9</v>
      </c>
      <c r="G6" s="13">
        <v>2019</v>
      </c>
      <c r="H6" s="13">
        <v>2020</v>
      </c>
      <c r="K6"/>
    </row>
    <row r="7" spans="1:11" ht="15">
      <c r="A7" t="s">
        <v>10</v>
      </c>
      <c r="B7" s="8">
        <v>17437.25</v>
      </c>
      <c r="C7" s="8">
        <f>SUMIFS(Kontoplan!C:C,Kontoplan!A:A,"Indtægter",Kontoplan!E:E,'Regnskab '!A7)</f>
        <v>21750</v>
      </c>
      <c r="D7" s="14"/>
      <c r="E7" s="15"/>
      <c r="F7" s="15" t="s">
        <v>49</v>
      </c>
      <c r="G7" s="8">
        <v>42662.95</v>
      </c>
      <c r="H7" s="8">
        <f>+Bogføring!G137</f>
        <v>55894.06</v>
      </c>
      <c r="K7"/>
    </row>
    <row r="8" spans="1:11" ht="15">
      <c r="A8" t="s">
        <v>59</v>
      </c>
      <c r="B8" s="69">
        <v>4207.75</v>
      </c>
      <c r="C8" s="8">
        <f>SUMIFS(Kontoplan!C:C,Kontoplan!A:A,"Indtægter",Kontoplan!E:E,'Regnskab '!A8)</f>
        <v>1060</v>
      </c>
      <c r="D8" s="14"/>
      <c r="E8" s="15"/>
      <c r="F8" s="15" t="s">
        <v>50</v>
      </c>
      <c r="G8" s="8">
        <v>5329.5</v>
      </c>
      <c r="H8" s="8">
        <f>+Bogføring!E137</f>
        <v>943.5</v>
      </c>
      <c r="K8"/>
    </row>
    <row r="9" spans="1:11" ht="15">
      <c r="A9" t="s">
        <v>62</v>
      </c>
      <c r="B9" s="84">
        <v>5228.29</v>
      </c>
      <c r="C9" s="8">
        <f>SUMIFS(Kontoplan!C:C,Kontoplan!A:A,"Indtægter",Kontoplan!E:E,'Regnskab '!A9)</f>
        <v>0</v>
      </c>
      <c r="D9" s="14"/>
      <c r="E9" s="15"/>
      <c r="F9" s="15" t="s">
        <v>51</v>
      </c>
      <c r="G9" s="8">
        <v>647</v>
      </c>
      <c r="H9" s="8">
        <v>647</v>
      </c>
      <c r="K9"/>
    </row>
    <row r="10" spans="1:12" ht="15">
      <c r="A10" t="s">
        <v>92</v>
      </c>
      <c r="B10" s="84">
        <v>5396.25</v>
      </c>
      <c r="C10" s="8">
        <f>SUMIFS(Kontoplan!C:C,Kontoplan!A:A,"Indtægter",Kontoplan!E:E,'Regnskab '!A10)</f>
        <v>20846.75</v>
      </c>
      <c r="D10" s="14"/>
      <c r="E10" s="15"/>
      <c r="F10" s="15" t="s">
        <v>75</v>
      </c>
      <c r="G10" s="8">
        <v>11383.82</v>
      </c>
      <c r="H10" s="8">
        <f>+Kontoplan!C32-0.18-1032.5</f>
        <v>2991.13</v>
      </c>
      <c r="K10" t="s">
        <v>76</v>
      </c>
      <c r="L10" s="11">
        <v>4023.63</v>
      </c>
    </row>
    <row r="11" spans="1:11" ht="15">
      <c r="A11" s="11" t="s">
        <v>40</v>
      </c>
      <c r="B11" s="19">
        <v>7648.5</v>
      </c>
      <c r="C11" s="8">
        <f>SUMIFS(Kontoplan!C:C,Kontoplan!A:A,"Indtægter",Kontoplan!E:E,'Regnskab '!A11)</f>
        <v>3600</v>
      </c>
      <c r="D11" s="14"/>
      <c r="E11" s="15"/>
      <c r="F11" s="16" t="s">
        <v>11</v>
      </c>
      <c r="G11" s="17">
        <v>60023.27</v>
      </c>
      <c r="H11" s="17">
        <f>SUM(H7:H10)</f>
        <v>60475.689999999995</v>
      </c>
      <c r="K11"/>
    </row>
    <row r="12" spans="1:11" ht="15">
      <c r="A12" t="s">
        <v>56</v>
      </c>
      <c r="B12" s="69">
        <v>8250</v>
      </c>
      <c r="C12" s="8">
        <f>SUMIFS(Kontoplan!C:C,Kontoplan!A:A,"Indtægter",Kontoplan!E:E,'Regnskab '!A12)</f>
        <v>5000</v>
      </c>
      <c r="D12" s="14"/>
      <c r="E12" s="15"/>
      <c r="F12" s="15"/>
      <c r="G12" s="8"/>
      <c r="H12" s="8"/>
      <c r="K12"/>
    </row>
    <row r="13" spans="1:11" ht="15">
      <c r="A13" t="s">
        <v>39</v>
      </c>
      <c r="B13" s="8">
        <v>1125</v>
      </c>
      <c r="C13" s="8">
        <f>SUMIFS(Kontoplan!C:C,Kontoplan!A:A,"Indtægter",Kontoplan!E:E,'Regnskab '!A13)</f>
        <v>350</v>
      </c>
      <c r="D13" s="14"/>
      <c r="E13" s="15"/>
      <c r="F13" s="18" t="s">
        <v>12</v>
      </c>
      <c r="G13" s="8"/>
      <c r="H13" s="8"/>
      <c r="K13"/>
    </row>
    <row r="14" spans="1:11" ht="15">
      <c r="A14" t="s">
        <v>52</v>
      </c>
      <c r="B14" s="8">
        <v>5490.68</v>
      </c>
      <c r="C14" s="8">
        <f>SUMIFS(Kontoplan!C:C,Kontoplan!A:A,"Indtægter",Kontoplan!E:E,'Regnskab '!A14)</f>
        <v>0</v>
      </c>
      <c r="D14" s="14"/>
      <c r="E14" s="15"/>
      <c r="F14" s="15" t="s">
        <v>16</v>
      </c>
      <c r="G14" s="8">
        <v>63210.145</v>
      </c>
      <c r="H14" s="8">
        <f>+G19</f>
        <v>60023.265</v>
      </c>
      <c r="K14" s="19"/>
    </row>
    <row r="15" spans="1:8" ht="15">
      <c r="A15" t="s">
        <v>41</v>
      </c>
      <c r="B15" s="69">
        <v>8854.82</v>
      </c>
      <c r="C15" s="8">
        <f>SUMIFS(Kontoplan!C:C,Kontoplan!A:A,"Indtægter",Kontoplan!E:E,'Regnskab '!A15)-5786-1032.5</f>
        <v>922.0200000000004</v>
      </c>
      <c r="D15" s="14"/>
      <c r="E15" s="15"/>
      <c r="F15" s="15" t="s">
        <v>37</v>
      </c>
      <c r="G15" s="8">
        <v>-3186.8799999999974</v>
      </c>
      <c r="H15" s="8">
        <f>+C38</f>
        <v>452.42000000000553</v>
      </c>
    </row>
    <row r="16" spans="1:10" ht="15">
      <c r="A16" t="s">
        <v>42</v>
      </c>
      <c r="B16" s="8">
        <v>149.55</v>
      </c>
      <c r="C16" s="8">
        <f>SUMIFS(Kontoplan!C:C,Kontoplan!A:A,"Indtægter",Kontoplan!E:E,'Regnskab '!A16)</f>
        <v>0</v>
      </c>
      <c r="D16" s="14"/>
      <c r="E16" s="15"/>
      <c r="F16" s="15"/>
      <c r="G16" s="8"/>
      <c r="H16" s="69"/>
      <c r="J16" s="19"/>
    </row>
    <row r="17" spans="1:11" ht="15">
      <c r="A17" s="7"/>
      <c r="B17" s="8"/>
      <c r="C17" s="8"/>
      <c r="D17" s="14"/>
      <c r="E17" s="15"/>
      <c r="F17" s="16" t="s">
        <v>15</v>
      </c>
      <c r="G17" s="17">
        <v>60023.265</v>
      </c>
      <c r="H17" s="17">
        <f>SUM(H14:H16)</f>
        <v>60475.685000000005</v>
      </c>
      <c r="J17" s="19">
        <f>+H11-H17</f>
        <v>0.004999999990104698</v>
      </c>
      <c r="K17" s="19"/>
    </row>
    <row r="18" spans="1:10" ht="15">
      <c r="A18" s="7"/>
      <c r="B18" s="8"/>
      <c r="C18" s="8"/>
      <c r="D18" s="14"/>
      <c r="E18" s="15"/>
      <c r="F18" s="15"/>
      <c r="G18" s="8"/>
      <c r="H18" s="8"/>
      <c r="J18" s="19"/>
    </row>
    <row r="19" spans="1:11" ht="15">
      <c r="A19" s="20" t="s">
        <v>13</v>
      </c>
      <c r="B19" s="17">
        <v>63788.090000000004</v>
      </c>
      <c r="C19" s="17">
        <f>SUM(C7:C18)</f>
        <v>53528.770000000004</v>
      </c>
      <c r="D19" s="14"/>
      <c r="E19" s="15"/>
      <c r="F19" s="67" t="s">
        <v>17</v>
      </c>
      <c r="G19" s="68">
        <v>60023.265</v>
      </c>
      <c r="H19" s="68">
        <f>+H17</f>
        <v>60475.685000000005</v>
      </c>
      <c r="I19" s="50"/>
      <c r="J19" s="19"/>
      <c r="K19" s="19"/>
    </row>
    <row r="20" spans="1:11" ht="15">
      <c r="A20" s="7"/>
      <c r="B20" s="8"/>
      <c r="C20" s="8"/>
      <c r="D20" s="14"/>
      <c r="E20" s="15"/>
      <c r="F20" s="15"/>
      <c r="G20" s="15"/>
      <c r="H20" s="15"/>
      <c r="K20"/>
    </row>
    <row r="21" spans="1:11" ht="15">
      <c r="A21" s="13" t="s">
        <v>14</v>
      </c>
      <c r="B21" s="8"/>
      <c r="C21" s="8"/>
      <c r="D21" s="14"/>
      <c r="E21" s="15"/>
      <c r="F21" s="15" t="s">
        <v>34</v>
      </c>
      <c r="G21" s="15"/>
      <c r="H21" s="15"/>
      <c r="J21" s="48"/>
      <c r="K21"/>
    </row>
    <row r="22" spans="1:11" ht="15">
      <c r="A22" t="s">
        <v>59</v>
      </c>
      <c r="B22" s="8">
        <v>2746.06</v>
      </c>
      <c r="C22" s="8">
        <f>SUMIFS(Kontoplan!C:C,Kontoplan!A:A,"Udgifter",Kontoplan!E:E,'Regnskab '!A22)</f>
        <v>0</v>
      </c>
      <c r="D22" s="14"/>
      <c r="E22" s="15"/>
      <c r="G22" s="15"/>
      <c r="H22" s="15"/>
      <c r="J22" s="19"/>
      <c r="K22"/>
    </row>
    <row r="23" spans="1:11" ht="15">
      <c r="A23" s="85" t="s">
        <v>62</v>
      </c>
      <c r="B23" s="84">
        <v>5703.81</v>
      </c>
      <c r="C23" s="8">
        <f>SUMIFS(Kontoplan!C:C,Kontoplan!A:A,"Udgifter",Kontoplan!E:E,'Regnskab '!A23)</f>
        <v>0</v>
      </c>
      <c r="D23" s="14"/>
      <c r="E23" s="15"/>
      <c r="G23" s="15"/>
      <c r="H23" s="15"/>
      <c r="K23"/>
    </row>
    <row r="24" spans="1:11" ht="15">
      <c r="A24" t="s">
        <v>92</v>
      </c>
      <c r="B24" s="84">
        <v>2500</v>
      </c>
      <c r="C24" s="8">
        <f>SUMIFS(Kontoplan!C:C,Kontoplan!A:A,"Udgifter",Kontoplan!E:E,'Regnskab '!A24)</f>
        <v>13145.75</v>
      </c>
      <c r="D24" s="14"/>
      <c r="E24" s="15"/>
      <c r="F24" s="11" t="s">
        <v>57</v>
      </c>
      <c r="G24" s="15"/>
      <c r="H24" s="15"/>
      <c r="K24"/>
    </row>
    <row r="25" spans="1:11" ht="15">
      <c r="A25" s="85" t="s">
        <v>40</v>
      </c>
      <c r="B25" s="84">
        <v>5583</v>
      </c>
      <c r="C25" s="8">
        <f>SUMIFS(Kontoplan!C:C,Kontoplan!A:A,"Udgifter",Kontoplan!E:E,'Regnskab '!A25)</f>
        <v>2500</v>
      </c>
      <c r="D25" s="14"/>
      <c r="E25" s="15"/>
      <c r="F25" s="15"/>
      <c r="G25" s="15"/>
      <c r="H25" s="15"/>
      <c r="K25"/>
    </row>
    <row r="26" spans="1:11" ht="15">
      <c r="A26" t="s">
        <v>43</v>
      </c>
      <c r="B26" s="8">
        <v>7986.700000000002</v>
      </c>
      <c r="C26" s="8">
        <f>SUMIFS(Kontoplan!C:C,Kontoplan!A:A,"Udgifter",Kontoplan!E:E,'Regnskab '!A26)</f>
        <v>2430.7</v>
      </c>
      <c r="D26" s="14"/>
      <c r="E26" s="15"/>
      <c r="F26" s="15"/>
      <c r="G26" s="15"/>
      <c r="H26" s="15"/>
      <c r="K26"/>
    </row>
    <row r="27" spans="1:11" ht="15">
      <c r="A27" t="s">
        <v>44</v>
      </c>
      <c r="B27" s="8">
        <v>2747.3599999999997</v>
      </c>
      <c r="C27" s="8">
        <f>SUMIFS(Kontoplan!C:C,Kontoplan!A:A,"Udgifter",Kontoplan!E:E,'Regnskab '!A27)</f>
        <v>1000</v>
      </c>
      <c r="D27" s="14"/>
      <c r="E27" s="15"/>
      <c r="G27" s="15"/>
      <c r="H27" s="15"/>
      <c r="K27"/>
    </row>
    <row r="28" spans="1:11" ht="15">
      <c r="A28" t="s">
        <v>33</v>
      </c>
      <c r="B28" s="8">
        <v>11531.81</v>
      </c>
      <c r="C28" s="8">
        <f>SUMIFS(Kontoplan!C:C,Kontoplan!A:A,"Udgifter",Kontoplan!E:E,'Regnskab '!A28)</f>
        <v>8187.58</v>
      </c>
      <c r="D28" s="14"/>
      <c r="E28" s="15"/>
      <c r="F28" s="15" t="s">
        <v>35</v>
      </c>
      <c r="G28" s="15"/>
      <c r="H28" s="15"/>
      <c r="K28"/>
    </row>
    <row r="29" spans="1:11" ht="15">
      <c r="A29" t="s">
        <v>45</v>
      </c>
      <c r="B29" s="8">
        <v>4537.5</v>
      </c>
      <c r="C29" s="8">
        <f>SUMIFS(Kontoplan!C:C,Kontoplan!A:A,"Udgifter",Kontoplan!E:E,'Regnskab '!A29)</f>
        <v>1981.25</v>
      </c>
      <c r="D29" s="14"/>
      <c r="E29" s="15"/>
      <c r="F29" s="15" t="s">
        <v>36</v>
      </c>
      <c r="G29" s="15"/>
      <c r="H29" s="15"/>
      <c r="K29"/>
    </row>
    <row r="30" spans="1:8" ht="15">
      <c r="A30" t="s">
        <v>46</v>
      </c>
      <c r="B30" s="8">
        <v>0</v>
      </c>
      <c r="C30" s="8">
        <f>SUMIFS(Kontoplan!C:C,Kontoplan!A:A,"Udgifter",Kontoplan!E:E,'Regnskab '!A30)</f>
        <v>2377</v>
      </c>
      <c r="D30" s="14"/>
      <c r="E30" s="15"/>
      <c r="G30" s="15"/>
      <c r="H30" s="15"/>
    </row>
    <row r="31" spans="1:9" ht="15">
      <c r="A31" t="s">
        <v>22</v>
      </c>
      <c r="B31" s="8">
        <v>4552.85</v>
      </c>
      <c r="C31" s="8">
        <f>SUMIFS(Kontoplan!C:C,Kontoplan!A:A,"Udgifter",Kontoplan!E:E,'Regnskab '!A31)</f>
        <v>4753.67</v>
      </c>
      <c r="D31" s="14"/>
      <c r="E31" s="15"/>
      <c r="F31" s="15"/>
      <c r="G31" s="15"/>
      <c r="H31" s="15"/>
      <c r="I31" s="50"/>
    </row>
    <row r="32" spans="1:8" ht="15">
      <c r="A32" t="s">
        <v>48</v>
      </c>
      <c r="B32" s="8">
        <v>2285</v>
      </c>
      <c r="C32" s="8">
        <f>SUMIFS(Kontoplan!C:C,Kontoplan!A:A,"Udgifter",Kontoplan!E:E,'Regnskab '!A32)</f>
        <v>3943.36</v>
      </c>
      <c r="D32" s="14"/>
      <c r="E32" s="15"/>
      <c r="F32" s="15"/>
      <c r="G32" s="15"/>
      <c r="H32" s="15"/>
    </row>
    <row r="33" spans="1:8" ht="15">
      <c r="A33" t="s">
        <v>47</v>
      </c>
      <c r="B33" s="8">
        <v>16163</v>
      </c>
      <c r="C33" s="8">
        <f>SUMIFS(Kontoplan!C:C,Kontoplan!A:A,"Udgifter",Kontoplan!E:E,'Regnskab '!A33)</f>
        <v>11422.94</v>
      </c>
      <c r="D33" s="14"/>
      <c r="E33" s="15"/>
      <c r="F33" s="15"/>
      <c r="G33" s="15"/>
      <c r="H33" s="15"/>
    </row>
    <row r="34" spans="1:8" ht="15">
      <c r="A34" s="7" t="s">
        <v>55</v>
      </c>
      <c r="B34" s="8">
        <v>637.88</v>
      </c>
      <c r="C34" s="8">
        <f>SUMIFS(Kontoplan!C:C,Kontoplan!A:A,"Udgifter",Kontoplan!E:E,'Regnskab '!A34)</f>
        <v>1334.1000000000001</v>
      </c>
      <c r="D34" s="14"/>
      <c r="E34" s="15"/>
      <c r="F34" s="15"/>
      <c r="G34" s="15"/>
      <c r="H34" s="15"/>
    </row>
    <row r="35" spans="1:8" ht="15">
      <c r="A35" s="7"/>
      <c r="B35" s="8"/>
      <c r="C35" s="8"/>
      <c r="D35" s="14"/>
      <c r="E35" s="15"/>
      <c r="F35" s="15"/>
      <c r="G35" s="15"/>
      <c r="H35" s="15"/>
    </row>
    <row r="36" spans="1:5" ht="15">
      <c r="A36" s="20" t="s">
        <v>13</v>
      </c>
      <c r="B36" s="17">
        <v>66974.97</v>
      </c>
      <c r="C36" s="17">
        <f>SUM(C22:C34)</f>
        <v>53076.35</v>
      </c>
      <c r="D36" s="14"/>
      <c r="E36" s="15"/>
    </row>
    <row r="37" spans="1:11" ht="15">
      <c r="A37" s="7"/>
      <c r="B37" s="8"/>
      <c r="C37" s="8"/>
      <c r="D37" s="14"/>
      <c r="E37" s="15"/>
      <c r="K37" s="19"/>
    </row>
    <row r="38" spans="1:5" ht="13.5" thickBot="1">
      <c r="A38" s="21" t="s">
        <v>18</v>
      </c>
      <c r="B38" s="22">
        <v>-3186.8799999999974</v>
      </c>
      <c r="C38" s="22">
        <f>+C19-C36</f>
        <v>452.42000000000553</v>
      </c>
      <c r="D38" s="14"/>
      <c r="E38" s="15"/>
    </row>
    <row r="39" spans="4:5" ht="13.5" thickTop="1">
      <c r="D39" s="14"/>
      <c r="E39" s="15"/>
    </row>
    <row r="40" spans="4:5" ht="15">
      <c r="D40" s="14"/>
      <c r="E40" s="15"/>
    </row>
    <row r="41" spans="4:5" ht="15">
      <c r="D41" s="14"/>
      <c r="E41" s="15"/>
    </row>
    <row r="42" spans="4:5" ht="15">
      <c r="D42" s="14"/>
      <c r="E42" s="15"/>
    </row>
    <row r="43" spans="4:5" ht="15">
      <c r="D43" s="23"/>
      <c r="E43" s="15"/>
    </row>
    <row r="44" spans="4:5" ht="15">
      <c r="D44" s="23"/>
      <c r="E44" s="15"/>
    </row>
    <row r="45" ht="15">
      <c r="D45" s="23"/>
    </row>
    <row r="46" ht="15">
      <c r="D46" s="23"/>
    </row>
    <row r="47" ht="15">
      <c r="D47" s="23"/>
    </row>
  </sheetData>
  <printOptions/>
  <pageMargins left="0.7480314960629921" right="0.7480314960629921" top="0.5905511811023623" bottom="0.984251968503937" header="0" footer="0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6"/>
  <sheetViews>
    <sheetView workbookViewId="0" topLeftCell="A28">
      <selection activeCell="B52" sqref="B52"/>
    </sheetView>
  </sheetViews>
  <sheetFormatPr defaultColWidth="9.140625" defaultRowHeight="15"/>
  <cols>
    <col min="1" max="1" width="39.7109375" style="0" customWidth="1"/>
    <col min="2" max="3" width="14.140625" style="25" customWidth="1"/>
  </cols>
  <sheetData>
    <row r="1" spans="1:3" ht="15.75" thickBot="1">
      <c r="A1" s="100" t="s">
        <v>184</v>
      </c>
      <c r="B1" s="101"/>
      <c r="C1" s="102"/>
    </row>
    <row r="2" spans="1:3" ht="15">
      <c r="A2" s="86" t="s">
        <v>65</v>
      </c>
      <c r="B2" s="2"/>
      <c r="C2" s="87">
        <v>62949.35</v>
      </c>
    </row>
    <row r="3" spans="1:3" ht="15">
      <c r="A3" s="91" t="s">
        <v>170</v>
      </c>
      <c r="B3" s="2"/>
      <c r="C3" s="87"/>
    </row>
    <row r="4" spans="1:3" ht="15">
      <c r="A4" s="86" t="s">
        <v>171</v>
      </c>
      <c r="B4" s="2"/>
      <c r="C4" s="87">
        <v>65000</v>
      </c>
    </row>
    <row r="5" spans="1:3" ht="15">
      <c r="A5" s="86" t="s">
        <v>172</v>
      </c>
      <c r="B5" s="72"/>
      <c r="C5" s="99">
        <v>10000</v>
      </c>
    </row>
    <row r="6" spans="1:3" ht="15">
      <c r="A6" s="86" t="s">
        <v>173</v>
      </c>
      <c r="B6" s="72"/>
      <c r="C6" s="99">
        <v>35000</v>
      </c>
    </row>
    <row r="7" spans="1:3" ht="15">
      <c r="A7" s="86"/>
      <c r="B7" s="72"/>
      <c r="C7" s="99"/>
    </row>
    <row r="8" spans="1:3" ht="15">
      <c r="A8" s="86"/>
      <c r="B8" s="72"/>
      <c r="C8" s="99"/>
    </row>
    <row r="9" spans="1:3" ht="15">
      <c r="A9" s="86"/>
      <c r="B9" s="72"/>
      <c r="C9" s="99"/>
    </row>
    <row r="10" spans="1:3" ht="15">
      <c r="A10" s="86"/>
      <c r="B10" s="72"/>
      <c r="C10" s="99"/>
    </row>
    <row r="11" spans="1:3" ht="15">
      <c r="A11" s="91" t="s">
        <v>174</v>
      </c>
      <c r="B11" s="72"/>
      <c r="C11" s="99"/>
    </row>
    <row r="12" spans="1:3" ht="15">
      <c r="A12" s="86" t="s">
        <v>175</v>
      </c>
      <c r="B12" s="72">
        <v>1500</v>
      </c>
      <c r="C12" s="99"/>
    </row>
    <row r="13" spans="1:3" ht="15">
      <c r="A13" s="86" t="s">
        <v>176</v>
      </c>
      <c r="B13" s="72">
        <v>5000</v>
      </c>
      <c r="C13" s="99"/>
    </row>
    <row r="14" spans="1:3" ht="15">
      <c r="A14" s="86" t="s">
        <v>177</v>
      </c>
      <c r="B14" s="72">
        <v>4500</v>
      </c>
      <c r="C14" s="99"/>
    </row>
    <row r="15" spans="1:3" ht="15">
      <c r="A15" s="86" t="s">
        <v>178</v>
      </c>
      <c r="B15" s="72">
        <v>19000</v>
      </c>
      <c r="C15" s="99"/>
    </row>
    <row r="16" spans="1:3" ht="15">
      <c r="A16" s="86" t="s">
        <v>179</v>
      </c>
      <c r="B16" s="72">
        <v>1487</v>
      </c>
      <c r="C16" s="99"/>
    </row>
    <row r="17" spans="1:3" ht="15">
      <c r="A17" s="86" t="s">
        <v>180</v>
      </c>
      <c r="B17" s="72">
        <v>200</v>
      </c>
      <c r="C17" s="99"/>
    </row>
    <row r="18" spans="1:3" ht="15">
      <c r="A18" s="86" t="s">
        <v>181</v>
      </c>
      <c r="B18" s="72">
        <v>19895</v>
      </c>
      <c r="C18" s="99"/>
    </row>
    <row r="19" spans="1:3" ht="15">
      <c r="A19" s="86" t="s">
        <v>182</v>
      </c>
      <c r="B19" s="72">
        <f>+'Regnskab '!H10+1032.5+0.19</f>
        <v>4023.82</v>
      </c>
      <c r="C19" s="99"/>
    </row>
    <row r="20" spans="1:3" ht="15">
      <c r="A20" s="86" t="s">
        <v>183</v>
      </c>
      <c r="B20" s="72">
        <f>49.73+1+75+9+9</f>
        <v>143.73</v>
      </c>
      <c r="C20" s="99"/>
    </row>
    <row r="21" spans="1:3" ht="15">
      <c r="A21" s="86"/>
      <c r="B21" s="72"/>
      <c r="C21" s="99"/>
    </row>
    <row r="22" spans="1:3" ht="15">
      <c r="A22" s="86"/>
      <c r="B22" s="2"/>
      <c r="C22" s="87"/>
    </row>
    <row r="23" spans="1:3" ht="15">
      <c r="A23" s="86"/>
      <c r="B23" s="2"/>
      <c r="C23" s="87"/>
    </row>
    <row r="24" spans="1:3" ht="15">
      <c r="A24" s="86"/>
      <c r="B24" s="2"/>
      <c r="C24" s="87"/>
    </row>
    <row r="25" spans="1:3" ht="15">
      <c r="A25" s="86"/>
      <c r="B25" s="2"/>
      <c r="C25" s="87"/>
    </row>
    <row r="26" spans="1:3" ht="15">
      <c r="A26" s="86" t="s">
        <v>13</v>
      </c>
      <c r="B26" s="71">
        <f>SUM(B12:B24)</f>
        <v>55749.55</v>
      </c>
      <c r="C26" s="92">
        <f>SUM(C2:C18)</f>
        <v>172949.35</v>
      </c>
    </row>
    <row r="27" spans="1:3" ht="15">
      <c r="A27" s="93" t="s">
        <v>77</v>
      </c>
      <c r="B27" s="94"/>
      <c r="C27" s="95">
        <f>+C26-B26</f>
        <v>117199.8</v>
      </c>
    </row>
    <row r="28" spans="1:3" ht="15">
      <c r="A28" s="86" t="s">
        <v>64</v>
      </c>
      <c r="B28" s="2"/>
      <c r="C28" s="92">
        <f>+'Regnskab '!H10</f>
        <v>2991.13</v>
      </c>
    </row>
    <row r="29" spans="1:3" ht="15">
      <c r="A29" s="86" t="s">
        <v>185</v>
      </c>
      <c r="B29" s="2"/>
      <c r="C29" s="87">
        <v>-25000</v>
      </c>
    </row>
    <row r="30" spans="1:5" ht="15.75" thickBot="1">
      <c r="A30" s="96" t="s">
        <v>186</v>
      </c>
      <c r="B30" s="97"/>
      <c r="C30" s="98">
        <f>SUM(C27:C29)</f>
        <v>95190.93000000001</v>
      </c>
      <c r="E30" s="25">
        <f>+C30-95190.93</f>
        <v>0</v>
      </c>
    </row>
    <row r="32" spans="1:2" ht="15">
      <c r="A32" s="15" t="s">
        <v>34</v>
      </c>
      <c r="B32" s="15" t="s">
        <v>35</v>
      </c>
    </row>
    <row r="33" spans="1:2" ht="15">
      <c r="A33" s="11"/>
      <c r="B33" s="15" t="s">
        <v>36</v>
      </c>
    </row>
    <row r="34" spans="1:2" ht="15">
      <c r="A34" s="11"/>
      <c r="B34" s="11"/>
    </row>
    <row r="35" spans="1:2" ht="15">
      <c r="A35" s="11" t="s">
        <v>57</v>
      </c>
      <c r="B35" s="15"/>
    </row>
    <row r="36" ht="15">
      <c r="B36" s="15"/>
    </row>
  </sheetData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workbookViewId="0" topLeftCell="A1">
      <pane ySplit="6" topLeftCell="A91" activePane="bottomLeft" state="frozen"/>
      <selection pane="bottomLeft" activeCell="H116" sqref="H116"/>
    </sheetView>
  </sheetViews>
  <sheetFormatPr defaultColWidth="9.140625" defaultRowHeight="15"/>
  <cols>
    <col min="1" max="1" width="7.7109375" style="0" customWidth="1"/>
    <col min="2" max="2" width="5.8515625" style="0" customWidth="1"/>
    <col min="3" max="3" width="37.57421875" style="0" customWidth="1"/>
    <col min="4" max="5" width="9.140625" style="25" customWidth="1"/>
    <col min="6" max="6" width="10.421875" style="25" customWidth="1"/>
    <col min="7" max="7" width="10.7109375" style="25" customWidth="1"/>
    <col min="8" max="8" width="24.8515625" style="0" customWidth="1"/>
    <col min="9" max="9" width="3.421875" style="0" bestFit="1" customWidth="1"/>
  </cols>
  <sheetData>
    <row r="1" spans="1:9" ht="18">
      <c r="A1" s="57" t="s">
        <v>38</v>
      </c>
      <c r="B1" s="58"/>
      <c r="C1" s="58"/>
      <c r="D1" s="59"/>
      <c r="E1" s="59"/>
      <c r="F1" s="59"/>
      <c r="G1" s="60"/>
      <c r="H1" s="60"/>
      <c r="I1" s="60"/>
    </row>
    <row r="2" spans="1:9" ht="15">
      <c r="A2" s="61"/>
      <c r="B2" s="62"/>
      <c r="C2" s="62"/>
      <c r="D2" s="63"/>
      <c r="E2" s="63"/>
      <c r="F2" s="63"/>
      <c r="G2" s="63"/>
      <c r="H2" s="63"/>
      <c r="I2" s="63"/>
    </row>
    <row r="3" spans="1:9" ht="21" thickBot="1">
      <c r="A3" s="64"/>
      <c r="B3" s="65"/>
      <c r="C3" s="65" t="s">
        <v>81</v>
      </c>
      <c r="D3" s="66"/>
      <c r="E3" s="66"/>
      <c r="F3" s="66"/>
      <c r="G3" s="66"/>
      <c r="H3" s="66"/>
      <c r="I3" s="66"/>
    </row>
    <row r="4" spans="1:8" ht="15">
      <c r="A4" s="1"/>
      <c r="B4" s="1"/>
      <c r="C4" s="1"/>
      <c r="D4" s="2"/>
      <c r="E4" s="2"/>
      <c r="F4" s="2"/>
      <c r="G4" s="2"/>
      <c r="H4" s="2"/>
    </row>
    <row r="5" spans="1:9" ht="15">
      <c r="A5" s="3"/>
      <c r="B5" s="3"/>
      <c r="C5" s="3"/>
      <c r="D5" s="4" t="s">
        <v>0</v>
      </c>
      <c r="E5" s="4"/>
      <c r="F5" s="4" t="s">
        <v>1</v>
      </c>
      <c r="G5" s="4"/>
      <c r="H5" s="4"/>
      <c r="I5" s="4"/>
    </row>
    <row r="6" spans="1:9" ht="15">
      <c r="A6" s="3" t="s">
        <v>2</v>
      </c>
      <c r="B6" s="3" t="s">
        <v>3</v>
      </c>
      <c r="C6" s="3" t="s">
        <v>4</v>
      </c>
      <c r="D6" s="4" t="s">
        <v>5</v>
      </c>
      <c r="E6" s="4" t="s">
        <v>6</v>
      </c>
      <c r="F6" s="4" t="s">
        <v>5</v>
      </c>
      <c r="G6" s="4" t="s">
        <v>6</v>
      </c>
      <c r="H6" s="36" t="s">
        <v>7</v>
      </c>
      <c r="I6" s="45" t="s">
        <v>29</v>
      </c>
    </row>
    <row r="7" spans="1:9" ht="15">
      <c r="A7" s="37"/>
      <c r="B7" s="38"/>
      <c r="C7" s="38"/>
      <c r="D7" s="39"/>
      <c r="E7" s="39"/>
      <c r="F7" s="39"/>
      <c r="G7" s="39"/>
      <c r="H7" s="39"/>
      <c r="I7" s="46"/>
    </row>
    <row r="8" spans="1:9" ht="15">
      <c r="A8" s="40">
        <v>43837</v>
      </c>
      <c r="B8" s="5"/>
      <c r="C8" s="5" t="s">
        <v>61</v>
      </c>
      <c r="D8" s="6"/>
      <c r="E8" s="6">
        <v>300</v>
      </c>
      <c r="F8" s="6"/>
      <c r="G8" s="6"/>
      <c r="H8" s="5" t="s">
        <v>63</v>
      </c>
      <c r="I8" s="46" t="str">
        <f aca="true" t="shared" si="0" ref="I8:I78">IF(OR(LEN(D8)&gt;0,LEN(F8)&gt;0),"I",IF(OR(LEN(E8)&gt;0,LEN(G8)&gt;0),"U",""))</f>
        <v>U</v>
      </c>
    </row>
    <row r="9" spans="1:9" ht="15">
      <c r="A9" s="40">
        <v>43838</v>
      </c>
      <c r="B9" s="5">
        <v>1</v>
      </c>
      <c r="C9" s="5" t="s">
        <v>80</v>
      </c>
      <c r="D9" s="6"/>
      <c r="E9" s="6"/>
      <c r="F9" s="6"/>
      <c r="G9" s="6">
        <v>692.6</v>
      </c>
      <c r="H9" s="5" t="s">
        <v>58</v>
      </c>
      <c r="I9" s="46" t="str">
        <f t="shared" si="0"/>
        <v>U</v>
      </c>
    </row>
    <row r="10" spans="1:9" ht="15">
      <c r="A10" s="40">
        <v>43838</v>
      </c>
      <c r="B10" s="5">
        <v>2</v>
      </c>
      <c r="C10" s="5" t="s">
        <v>82</v>
      </c>
      <c r="D10" s="6"/>
      <c r="E10" s="6"/>
      <c r="F10" s="6"/>
      <c r="G10" s="6">
        <v>312.5</v>
      </c>
      <c r="H10" s="5" t="s">
        <v>60</v>
      </c>
      <c r="I10" s="46" t="str">
        <f t="shared" si="0"/>
        <v>U</v>
      </c>
    </row>
    <row r="11" spans="1:9" ht="15">
      <c r="A11" s="40">
        <v>43843</v>
      </c>
      <c r="B11" s="5"/>
      <c r="C11" s="5" t="s">
        <v>10</v>
      </c>
      <c r="D11" s="6"/>
      <c r="E11" s="6"/>
      <c r="F11" s="6">
        <v>150</v>
      </c>
      <c r="G11" s="6"/>
      <c r="H11" s="5" t="s">
        <v>83</v>
      </c>
      <c r="I11" s="46" t="str">
        <f aca="true" t="shared" si="1" ref="I11:I12">IF(OR(LEN(D11)&gt;0,LEN(F11)&gt;0),"I",IF(OR(LEN(E11)&gt;0,LEN(G11)&gt;0),"U",""))</f>
        <v>I</v>
      </c>
    </row>
    <row r="12" spans="1:9" ht="15">
      <c r="A12" s="40">
        <v>43843</v>
      </c>
      <c r="B12" s="5"/>
      <c r="C12" s="5" t="s">
        <v>91</v>
      </c>
      <c r="D12" s="6">
        <v>1850</v>
      </c>
      <c r="E12" s="6"/>
      <c r="F12" s="6"/>
      <c r="G12" s="6"/>
      <c r="H12" s="5" t="s">
        <v>85</v>
      </c>
      <c r="I12" s="46" t="str">
        <f t="shared" si="1"/>
        <v>I</v>
      </c>
    </row>
    <row r="13" spans="1:9" ht="15">
      <c r="A13" s="40">
        <v>43844</v>
      </c>
      <c r="B13" s="5"/>
      <c r="C13" s="5" t="s">
        <v>84</v>
      </c>
      <c r="D13" s="6"/>
      <c r="E13" s="6"/>
      <c r="F13" s="6">
        <v>1250</v>
      </c>
      <c r="G13" s="6"/>
      <c r="H13" s="5" t="s">
        <v>85</v>
      </c>
      <c r="I13" s="46" t="str">
        <f t="shared" si="0"/>
        <v>I</v>
      </c>
    </row>
    <row r="14" spans="1:9" ht="15">
      <c r="A14" s="40">
        <v>43844</v>
      </c>
      <c r="B14" s="5"/>
      <c r="C14" s="5" t="s">
        <v>86</v>
      </c>
      <c r="D14" s="6"/>
      <c r="E14" s="6"/>
      <c r="F14" s="6"/>
      <c r="G14" s="6">
        <v>101</v>
      </c>
      <c r="H14" s="5" t="s">
        <v>87</v>
      </c>
      <c r="I14" s="46" t="str">
        <f t="shared" si="0"/>
        <v>U</v>
      </c>
    </row>
    <row r="15" spans="1:9" ht="15">
      <c r="A15" s="40">
        <v>43847</v>
      </c>
      <c r="B15" s="5"/>
      <c r="C15" s="5" t="s">
        <v>89</v>
      </c>
      <c r="D15" s="6">
        <v>9194</v>
      </c>
      <c r="E15" s="6"/>
      <c r="F15" s="6"/>
      <c r="G15" s="6"/>
      <c r="H15" s="5" t="s">
        <v>93</v>
      </c>
      <c r="I15" s="46" t="str">
        <f t="shared" si="0"/>
        <v>I</v>
      </c>
    </row>
    <row r="16" spans="1:9" ht="15">
      <c r="A16" s="40">
        <v>43847</v>
      </c>
      <c r="B16" s="5"/>
      <c r="C16" s="5" t="s">
        <v>94</v>
      </c>
      <c r="D16" s="6"/>
      <c r="E16" s="6">
        <f>4150+33+265+292</f>
        <v>4740</v>
      </c>
      <c r="F16" s="6"/>
      <c r="G16" s="6"/>
      <c r="H16" s="5" t="s">
        <v>97</v>
      </c>
      <c r="I16" s="46" t="str">
        <f t="shared" si="0"/>
        <v>U</v>
      </c>
    </row>
    <row r="17" spans="1:9" ht="15">
      <c r="A17" s="40">
        <v>43850</v>
      </c>
      <c r="B17" s="5"/>
      <c r="C17" s="5" t="s">
        <v>88</v>
      </c>
      <c r="D17" s="6"/>
      <c r="E17" s="6"/>
      <c r="F17" s="6">
        <v>6780</v>
      </c>
      <c r="G17" s="6"/>
      <c r="H17" s="5" t="s">
        <v>93</v>
      </c>
      <c r="I17" s="46" t="str">
        <f t="shared" si="0"/>
        <v>I</v>
      </c>
    </row>
    <row r="18" spans="1:9" ht="15">
      <c r="A18" s="40">
        <v>43850</v>
      </c>
      <c r="B18" s="5"/>
      <c r="C18" s="5" t="s">
        <v>86</v>
      </c>
      <c r="D18" s="6"/>
      <c r="E18" s="6"/>
      <c r="F18" s="6"/>
      <c r="G18" s="6">
        <v>27.75</v>
      </c>
      <c r="H18" s="5" t="s">
        <v>87</v>
      </c>
      <c r="I18" s="46" t="str">
        <f t="shared" si="0"/>
        <v>U</v>
      </c>
    </row>
    <row r="19" spans="1:9" ht="15">
      <c r="A19" s="40">
        <v>43850</v>
      </c>
      <c r="B19" s="5">
        <v>4</v>
      </c>
      <c r="C19" s="5" t="s">
        <v>95</v>
      </c>
      <c r="D19" s="6"/>
      <c r="E19" s="6">
        <v>9500</v>
      </c>
      <c r="F19" s="6">
        <v>9500</v>
      </c>
      <c r="G19" s="6"/>
      <c r="H19" s="5"/>
      <c r="I19" s="46" t="str">
        <f aca="true" t="shared" si="2" ref="I19:I21">IF(OR(LEN(D19)&gt;0,LEN(F19)&gt;0),"I",IF(OR(LEN(E19)&gt;0,LEN(G19)&gt;0),"U",""))</f>
        <v>I</v>
      </c>
    </row>
    <row r="20" spans="1:9" ht="15">
      <c r="A20" s="40">
        <v>43850</v>
      </c>
      <c r="B20" s="5"/>
      <c r="C20" s="5" t="s">
        <v>96</v>
      </c>
      <c r="D20" s="6">
        <v>500</v>
      </c>
      <c r="E20" s="6"/>
      <c r="F20" s="6"/>
      <c r="G20" s="6"/>
      <c r="H20" s="5" t="s">
        <v>85</v>
      </c>
      <c r="I20" s="46" t="str">
        <f t="shared" si="2"/>
        <v>I</v>
      </c>
    </row>
    <row r="21" spans="1:9" ht="15">
      <c r="A21" s="40">
        <v>43850</v>
      </c>
      <c r="B21" s="5">
        <v>5</v>
      </c>
      <c r="C21" s="5" t="s">
        <v>98</v>
      </c>
      <c r="D21" s="6"/>
      <c r="E21" s="6"/>
      <c r="F21" s="6"/>
      <c r="G21" s="6">
        <v>1875</v>
      </c>
      <c r="H21" s="5" t="s">
        <v>97</v>
      </c>
      <c r="I21" s="46" t="str">
        <f t="shared" si="2"/>
        <v>U</v>
      </c>
    </row>
    <row r="22" spans="1:9" ht="15">
      <c r="A22" s="40">
        <v>43850</v>
      </c>
      <c r="B22" s="5">
        <v>6</v>
      </c>
      <c r="C22" s="5" t="s">
        <v>99</v>
      </c>
      <c r="D22" s="6"/>
      <c r="E22" s="6"/>
      <c r="F22" s="6"/>
      <c r="G22" s="6">
        <v>6162</v>
      </c>
      <c r="H22" s="5" t="s">
        <v>97</v>
      </c>
      <c r="I22" s="46" t="str">
        <f t="shared" si="0"/>
        <v>U</v>
      </c>
    </row>
    <row r="23" spans="1:9" ht="15">
      <c r="A23" s="40">
        <v>43850</v>
      </c>
      <c r="B23" s="5"/>
      <c r="C23" s="5" t="s">
        <v>100</v>
      </c>
      <c r="D23" s="6"/>
      <c r="E23" s="6"/>
      <c r="F23" s="6">
        <v>372.75</v>
      </c>
      <c r="G23" s="6"/>
      <c r="H23" s="5" t="s">
        <v>93</v>
      </c>
      <c r="I23" s="46" t="str">
        <f t="shared" si="0"/>
        <v>I</v>
      </c>
    </row>
    <row r="24" spans="1:9" ht="15">
      <c r="A24" s="40">
        <v>43853</v>
      </c>
      <c r="B24" s="5">
        <v>7</v>
      </c>
      <c r="C24" s="5" t="s">
        <v>101</v>
      </c>
      <c r="D24" s="6"/>
      <c r="E24" s="6"/>
      <c r="F24" s="6">
        <v>4500</v>
      </c>
      <c r="G24" s="6"/>
      <c r="H24" s="5" t="s">
        <v>93</v>
      </c>
      <c r="I24" s="46" t="str">
        <f t="shared" si="0"/>
        <v>I</v>
      </c>
    </row>
    <row r="25" spans="1:9" ht="15">
      <c r="A25" s="40">
        <v>43859</v>
      </c>
      <c r="B25" s="5">
        <v>8</v>
      </c>
      <c r="C25" s="5" t="s">
        <v>102</v>
      </c>
      <c r="D25" s="6"/>
      <c r="E25" s="6"/>
      <c r="F25" s="6"/>
      <c r="G25" s="6">
        <v>417.5</v>
      </c>
      <c r="H25" s="5" t="s">
        <v>103</v>
      </c>
      <c r="I25" s="46" t="str">
        <f t="shared" si="0"/>
        <v>U</v>
      </c>
    </row>
    <row r="26" spans="1:9" ht="15">
      <c r="A26" s="40">
        <v>43860</v>
      </c>
      <c r="B26" s="5"/>
      <c r="C26" s="5" t="s">
        <v>10</v>
      </c>
      <c r="D26" s="6"/>
      <c r="E26" s="6"/>
      <c r="F26" s="6">
        <v>150</v>
      </c>
      <c r="G26" s="6"/>
      <c r="H26" s="5" t="s">
        <v>83</v>
      </c>
      <c r="I26" s="46" t="str">
        <f t="shared" si="0"/>
        <v>I</v>
      </c>
    </row>
    <row r="27" spans="1:9" ht="15">
      <c r="A27" s="40">
        <v>43860</v>
      </c>
      <c r="B27" s="5">
        <v>9</v>
      </c>
      <c r="C27" s="40" t="s">
        <v>104</v>
      </c>
      <c r="D27" s="6"/>
      <c r="E27" s="6"/>
      <c r="F27" s="6">
        <v>5786</v>
      </c>
      <c r="G27" s="6"/>
      <c r="H27" s="5" t="s">
        <v>105</v>
      </c>
      <c r="I27" s="46" t="str">
        <f t="shared" si="0"/>
        <v>I</v>
      </c>
    </row>
    <row r="28" spans="1:9" ht="15">
      <c r="A28" s="40">
        <v>43864</v>
      </c>
      <c r="B28" s="5"/>
      <c r="C28" s="5" t="s">
        <v>10</v>
      </c>
      <c r="D28" s="6"/>
      <c r="E28" s="6"/>
      <c r="F28" s="6">
        <v>300</v>
      </c>
      <c r="G28" s="6"/>
      <c r="H28" s="5" t="s">
        <v>83</v>
      </c>
      <c r="I28" s="46" t="str">
        <f t="shared" si="0"/>
        <v>I</v>
      </c>
    </row>
    <row r="29" spans="1:9" ht="15">
      <c r="A29" s="40">
        <v>43864</v>
      </c>
      <c r="B29" s="5"/>
      <c r="C29" s="5" t="s">
        <v>86</v>
      </c>
      <c r="D29" s="6"/>
      <c r="E29" s="6"/>
      <c r="F29" s="6"/>
      <c r="G29" s="6">
        <v>0.75</v>
      </c>
      <c r="H29" s="5" t="s">
        <v>87</v>
      </c>
      <c r="I29" s="46" t="str">
        <f t="shared" si="0"/>
        <v>U</v>
      </c>
    </row>
    <row r="30" spans="1:9" ht="15">
      <c r="A30" s="40">
        <v>43872</v>
      </c>
      <c r="B30" s="5">
        <v>10</v>
      </c>
      <c r="C30" s="5" t="s">
        <v>80</v>
      </c>
      <c r="D30" s="6"/>
      <c r="E30" s="6"/>
      <c r="F30" s="6"/>
      <c r="G30" s="6">
        <v>692.6</v>
      </c>
      <c r="H30" s="5" t="s">
        <v>58</v>
      </c>
      <c r="I30" s="46" t="str">
        <f t="shared" si="0"/>
        <v>U</v>
      </c>
    </row>
    <row r="31" spans="1:9" ht="15">
      <c r="A31" s="40">
        <v>43878</v>
      </c>
      <c r="B31" s="5">
        <v>11</v>
      </c>
      <c r="C31" s="5" t="s">
        <v>106</v>
      </c>
      <c r="D31" s="6"/>
      <c r="E31" s="6"/>
      <c r="F31" s="6"/>
      <c r="G31" s="6">
        <v>2178.29</v>
      </c>
      <c r="H31" s="5" t="s">
        <v>103</v>
      </c>
      <c r="I31" s="46" t="str">
        <f t="shared" si="0"/>
        <v>U</v>
      </c>
    </row>
    <row r="32" spans="1:9" ht="15">
      <c r="A32" s="40">
        <v>43878</v>
      </c>
      <c r="B32" s="5">
        <v>12</v>
      </c>
      <c r="C32" s="5" t="s">
        <v>102</v>
      </c>
      <c r="D32" s="6"/>
      <c r="E32" s="6"/>
      <c r="F32" s="6"/>
      <c r="G32" s="6">
        <v>255.25</v>
      </c>
      <c r="H32" s="5" t="s">
        <v>103</v>
      </c>
      <c r="I32" s="46" t="str">
        <f t="shared" si="0"/>
        <v>U</v>
      </c>
    </row>
    <row r="33" spans="1:9" ht="15">
      <c r="A33" s="40">
        <v>43889</v>
      </c>
      <c r="B33" s="5"/>
      <c r="C33" s="5" t="s">
        <v>10</v>
      </c>
      <c r="D33" s="6"/>
      <c r="E33" s="6"/>
      <c r="F33" s="6">
        <v>1850</v>
      </c>
      <c r="G33" s="6"/>
      <c r="H33" s="5" t="s">
        <v>83</v>
      </c>
      <c r="I33" s="46"/>
    </row>
    <row r="34" spans="1:9" ht="15">
      <c r="A34" s="40">
        <v>43889</v>
      </c>
      <c r="B34" s="5"/>
      <c r="C34" s="5" t="s">
        <v>86</v>
      </c>
      <c r="D34" s="6"/>
      <c r="E34" s="6"/>
      <c r="F34" s="6"/>
      <c r="G34" s="6">
        <v>57.25</v>
      </c>
      <c r="H34" s="5" t="s">
        <v>87</v>
      </c>
      <c r="I34" s="46" t="str">
        <f t="shared" si="0"/>
        <v>U</v>
      </c>
    </row>
    <row r="35" spans="1:9" ht="15">
      <c r="A35" s="40">
        <v>43892</v>
      </c>
      <c r="B35" s="5">
        <v>13</v>
      </c>
      <c r="C35" s="5" t="s">
        <v>107</v>
      </c>
      <c r="D35" s="6"/>
      <c r="E35" s="6"/>
      <c r="F35" s="6"/>
      <c r="G35" s="6">
        <v>1168.46</v>
      </c>
      <c r="H35" s="5" t="s">
        <v>108</v>
      </c>
      <c r="I35" s="46" t="str">
        <f t="shared" si="0"/>
        <v>U</v>
      </c>
    </row>
    <row r="36" spans="1:9" ht="15">
      <c r="A36" s="40">
        <v>43892</v>
      </c>
      <c r="B36" s="5">
        <v>14</v>
      </c>
      <c r="C36" s="5" t="s">
        <v>109</v>
      </c>
      <c r="D36" s="6"/>
      <c r="E36" s="6"/>
      <c r="F36" s="6"/>
      <c r="G36" s="6">
        <v>2280.56</v>
      </c>
      <c r="H36" s="81" t="s">
        <v>108</v>
      </c>
      <c r="I36" s="46" t="str">
        <f t="shared" si="0"/>
        <v>U</v>
      </c>
    </row>
    <row r="37" spans="1:9" ht="15">
      <c r="A37" s="40">
        <v>43895</v>
      </c>
      <c r="B37" s="5"/>
      <c r="C37" s="5" t="s">
        <v>10</v>
      </c>
      <c r="D37" s="6"/>
      <c r="E37" s="6"/>
      <c r="F37" s="6">
        <v>2850</v>
      </c>
      <c r="G37" s="6"/>
      <c r="H37" s="5" t="s">
        <v>83</v>
      </c>
      <c r="I37" s="46" t="str">
        <f t="shared" si="0"/>
        <v>I</v>
      </c>
    </row>
    <row r="38" spans="1:9" ht="15">
      <c r="A38" s="40">
        <v>43895</v>
      </c>
      <c r="B38" s="5"/>
      <c r="C38" s="5" t="s">
        <v>86</v>
      </c>
      <c r="D38" s="6"/>
      <c r="E38" s="6"/>
      <c r="F38" s="6"/>
      <c r="G38" s="6">
        <v>58.75</v>
      </c>
      <c r="H38" s="5" t="s">
        <v>87</v>
      </c>
      <c r="I38" s="46" t="str">
        <f t="shared" si="0"/>
        <v>U</v>
      </c>
    </row>
    <row r="39" spans="1:9" ht="15">
      <c r="A39" s="40">
        <v>43895</v>
      </c>
      <c r="B39" s="5">
        <v>15</v>
      </c>
      <c r="C39" s="5" t="s">
        <v>110</v>
      </c>
      <c r="D39" s="6"/>
      <c r="E39" s="6"/>
      <c r="F39" s="6"/>
      <c r="G39" s="6">
        <v>368.75</v>
      </c>
      <c r="H39" s="5" t="s">
        <v>97</v>
      </c>
      <c r="I39" s="46" t="str">
        <f t="shared" si="0"/>
        <v>U</v>
      </c>
    </row>
    <row r="40" spans="1:9" ht="15">
      <c r="A40" s="40">
        <v>43896</v>
      </c>
      <c r="B40" s="5"/>
      <c r="C40" s="5" t="s">
        <v>10</v>
      </c>
      <c r="D40" s="6"/>
      <c r="E40" s="6"/>
      <c r="F40" s="6">
        <v>1200</v>
      </c>
      <c r="G40" s="6"/>
      <c r="H40" s="5" t="s">
        <v>83</v>
      </c>
      <c r="I40" s="46" t="str">
        <f t="shared" si="0"/>
        <v>I</v>
      </c>
    </row>
    <row r="41" spans="1:9" ht="15">
      <c r="A41" s="40">
        <v>43896</v>
      </c>
      <c r="B41" s="5"/>
      <c r="C41" s="5" t="s">
        <v>86</v>
      </c>
      <c r="D41" s="6"/>
      <c r="E41" s="6"/>
      <c r="F41" s="6"/>
      <c r="G41" s="6">
        <v>2.25</v>
      </c>
      <c r="H41" s="5" t="s">
        <v>87</v>
      </c>
      <c r="I41" s="46" t="str">
        <f t="shared" si="0"/>
        <v>U</v>
      </c>
    </row>
    <row r="42" spans="1:9" ht="15">
      <c r="A42" s="40">
        <v>43896</v>
      </c>
      <c r="B42" s="5"/>
      <c r="C42" s="5" t="s">
        <v>111</v>
      </c>
      <c r="D42" s="6"/>
      <c r="E42" s="6"/>
      <c r="F42" s="6"/>
      <c r="G42" s="6">
        <v>2500</v>
      </c>
      <c r="H42" s="5" t="s">
        <v>112</v>
      </c>
      <c r="I42" s="46" t="str">
        <f t="shared" si="0"/>
        <v>U</v>
      </c>
    </row>
    <row r="43" spans="1:9" ht="15">
      <c r="A43" s="40">
        <v>43896</v>
      </c>
      <c r="B43" s="5">
        <v>16</v>
      </c>
      <c r="C43" s="5" t="s">
        <v>80</v>
      </c>
      <c r="D43" s="6"/>
      <c r="E43" s="6"/>
      <c r="F43" s="6"/>
      <c r="G43" s="6">
        <v>695.9</v>
      </c>
      <c r="H43" s="5" t="s">
        <v>58</v>
      </c>
      <c r="I43" s="46" t="str">
        <f t="shared" si="0"/>
        <v>U</v>
      </c>
    </row>
    <row r="44" spans="1:9" ht="15">
      <c r="A44" s="40">
        <v>43896</v>
      </c>
      <c r="B44" s="5">
        <v>17</v>
      </c>
      <c r="C44" s="5" t="s">
        <v>113</v>
      </c>
      <c r="D44" s="6"/>
      <c r="E44" s="6"/>
      <c r="F44" s="6"/>
      <c r="G44" s="6">
        <v>103.68</v>
      </c>
      <c r="H44" s="5" t="s">
        <v>87</v>
      </c>
      <c r="I44" s="46" t="str">
        <f t="shared" si="0"/>
        <v>U</v>
      </c>
    </row>
    <row r="45" spans="1:9" ht="15">
      <c r="A45" s="40">
        <v>43896</v>
      </c>
      <c r="B45" s="5">
        <v>18</v>
      </c>
      <c r="C45" s="5" t="s">
        <v>114</v>
      </c>
      <c r="D45" s="6"/>
      <c r="E45" s="6"/>
      <c r="F45" s="6"/>
      <c r="G45" s="6">
        <v>250</v>
      </c>
      <c r="H45" s="5" t="s">
        <v>115</v>
      </c>
      <c r="I45" s="46" t="str">
        <f t="shared" si="0"/>
        <v>U</v>
      </c>
    </row>
    <row r="46" spans="1:9" ht="15">
      <c r="A46" s="40">
        <v>43901</v>
      </c>
      <c r="B46" s="5"/>
      <c r="C46" s="5" t="s">
        <v>10</v>
      </c>
      <c r="D46" s="6"/>
      <c r="E46" s="6"/>
      <c r="F46" s="6">
        <v>3950</v>
      </c>
      <c r="G46" s="6"/>
      <c r="H46" s="5" t="s">
        <v>83</v>
      </c>
      <c r="I46" s="46" t="str">
        <f t="shared" si="0"/>
        <v>I</v>
      </c>
    </row>
    <row r="47" spans="1:9" ht="15">
      <c r="A47" s="40">
        <v>43901</v>
      </c>
      <c r="B47" s="5"/>
      <c r="C47" s="5" t="s">
        <v>86</v>
      </c>
      <c r="D47" s="6"/>
      <c r="E47" s="6"/>
      <c r="F47" s="6"/>
      <c r="G47" s="6">
        <v>15</v>
      </c>
      <c r="H47" s="5" t="s">
        <v>87</v>
      </c>
      <c r="I47" s="46" t="str">
        <f t="shared" si="0"/>
        <v>U</v>
      </c>
    </row>
    <row r="48" spans="1:9" ht="15">
      <c r="A48" s="40">
        <v>43906</v>
      </c>
      <c r="B48" s="5"/>
      <c r="C48" s="5" t="s">
        <v>10</v>
      </c>
      <c r="D48" s="6"/>
      <c r="E48" s="6"/>
      <c r="F48" s="6">
        <v>1450</v>
      </c>
      <c r="G48" s="6"/>
      <c r="H48" s="5" t="s">
        <v>83</v>
      </c>
      <c r="I48" s="46" t="str">
        <f t="shared" si="0"/>
        <v>I</v>
      </c>
    </row>
    <row r="49" spans="1:9" ht="15">
      <c r="A49" s="40">
        <v>16.3</v>
      </c>
      <c r="B49" s="5"/>
      <c r="C49" s="5" t="s">
        <v>86</v>
      </c>
      <c r="D49" s="6"/>
      <c r="E49" s="6"/>
      <c r="F49" s="6"/>
      <c r="G49" s="6">
        <v>3.75</v>
      </c>
      <c r="H49" s="5" t="s">
        <v>87</v>
      </c>
      <c r="I49" s="46" t="str">
        <f t="shared" si="0"/>
        <v>U</v>
      </c>
    </row>
    <row r="50" spans="1:9" ht="15">
      <c r="A50" s="40">
        <v>43906</v>
      </c>
      <c r="B50" s="5">
        <v>19</v>
      </c>
      <c r="C50" s="5" t="s">
        <v>116</v>
      </c>
      <c r="D50" s="6"/>
      <c r="E50" s="6"/>
      <c r="F50" s="6"/>
      <c r="G50" s="6">
        <v>340.19</v>
      </c>
      <c r="H50" s="5" t="s">
        <v>115</v>
      </c>
      <c r="I50" s="46" t="str">
        <f t="shared" si="0"/>
        <v>U</v>
      </c>
    </row>
    <row r="51" spans="1:9" ht="15">
      <c r="A51" s="40">
        <v>43906</v>
      </c>
      <c r="B51" s="5">
        <v>20</v>
      </c>
      <c r="C51" s="5" t="s">
        <v>117</v>
      </c>
      <c r="D51" s="6"/>
      <c r="E51" s="6"/>
      <c r="F51" s="6"/>
      <c r="G51" s="6">
        <v>120</v>
      </c>
      <c r="H51" s="5" t="s">
        <v>90</v>
      </c>
      <c r="I51" s="46" t="str">
        <f t="shared" si="0"/>
        <v>U</v>
      </c>
    </row>
    <row r="52" spans="1:9" ht="15">
      <c r="A52" s="40">
        <v>43906</v>
      </c>
      <c r="B52" s="5">
        <v>20</v>
      </c>
      <c r="C52" s="5" t="s">
        <v>118</v>
      </c>
      <c r="D52" s="6"/>
      <c r="E52" s="6"/>
      <c r="F52" s="6"/>
      <c r="G52" s="6">
        <v>1000</v>
      </c>
      <c r="H52" s="5" t="s">
        <v>115</v>
      </c>
      <c r="I52" s="46" t="str">
        <f t="shared" si="0"/>
        <v>U</v>
      </c>
    </row>
    <row r="53" spans="1:9" ht="15">
      <c r="A53" s="40">
        <v>43906</v>
      </c>
      <c r="B53" s="5">
        <v>21</v>
      </c>
      <c r="C53" s="5" t="s">
        <v>119</v>
      </c>
      <c r="D53" s="6"/>
      <c r="E53" s="6"/>
      <c r="F53" s="6"/>
      <c r="G53" s="6">
        <v>1981.25</v>
      </c>
      <c r="H53" s="5" t="s">
        <v>120</v>
      </c>
      <c r="I53" s="46" t="str">
        <f t="shared" si="0"/>
        <v>U</v>
      </c>
    </row>
    <row r="54" spans="1:9" ht="15">
      <c r="A54" s="40">
        <v>43906</v>
      </c>
      <c r="B54" s="5">
        <v>22</v>
      </c>
      <c r="C54" s="5" t="s">
        <v>121</v>
      </c>
      <c r="D54" s="6"/>
      <c r="E54" s="6"/>
      <c r="F54" s="6"/>
      <c r="G54" s="6">
        <v>2237.58</v>
      </c>
      <c r="H54" s="5" t="s">
        <v>60</v>
      </c>
      <c r="I54" s="46" t="str">
        <f t="shared" si="0"/>
        <v>U</v>
      </c>
    </row>
    <row r="55" spans="1:9" ht="15">
      <c r="A55" s="40">
        <v>43916</v>
      </c>
      <c r="B55" s="5"/>
      <c r="C55" s="5" t="s">
        <v>10</v>
      </c>
      <c r="D55" s="6"/>
      <c r="E55" s="6"/>
      <c r="F55" s="6">
        <v>1300</v>
      </c>
      <c r="G55" s="6"/>
      <c r="H55" s="5" t="s">
        <v>83</v>
      </c>
      <c r="I55" s="46" t="str">
        <f t="shared" si="0"/>
        <v>I</v>
      </c>
    </row>
    <row r="56" spans="1:9" ht="15">
      <c r="A56" s="40">
        <v>43916</v>
      </c>
      <c r="B56" s="5"/>
      <c r="C56" s="5" t="s">
        <v>86</v>
      </c>
      <c r="D56" s="6"/>
      <c r="E56" s="6"/>
      <c r="F56" s="6"/>
      <c r="G56" s="6">
        <v>1.5</v>
      </c>
      <c r="H56" s="5" t="s">
        <v>87</v>
      </c>
      <c r="I56" s="46" t="str">
        <f t="shared" si="0"/>
        <v>U</v>
      </c>
    </row>
    <row r="57" spans="1:9" ht="15">
      <c r="A57" s="40">
        <v>43917</v>
      </c>
      <c r="B57" s="5">
        <v>23</v>
      </c>
      <c r="C57" s="5" t="s">
        <v>122</v>
      </c>
      <c r="D57" s="6"/>
      <c r="E57" s="6"/>
      <c r="F57" s="6"/>
      <c r="G57" s="6">
        <v>1908.75</v>
      </c>
      <c r="H57" s="5" t="s">
        <v>63</v>
      </c>
      <c r="I57" s="46" t="str">
        <f t="shared" si="0"/>
        <v>U</v>
      </c>
    </row>
    <row r="58" spans="1:9" ht="15">
      <c r="A58" s="40">
        <v>43921</v>
      </c>
      <c r="B58" s="5"/>
      <c r="C58" s="5" t="s">
        <v>123</v>
      </c>
      <c r="D58" s="6"/>
      <c r="E58" s="6"/>
      <c r="F58" s="6"/>
      <c r="G58" s="6">
        <f>17+21</f>
        <v>38</v>
      </c>
      <c r="H58" s="5" t="s">
        <v>87</v>
      </c>
      <c r="I58" s="46" t="str">
        <f t="shared" si="0"/>
        <v>U</v>
      </c>
    </row>
    <row r="59" spans="1:9" ht="15">
      <c r="A59" s="40">
        <v>43923</v>
      </c>
      <c r="B59" s="5"/>
      <c r="C59" s="5" t="s">
        <v>10</v>
      </c>
      <c r="D59" s="6"/>
      <c r="E59" s="6"/>
      <c r="F59" s="6">
        <v>150</v>
      </c>
      <c r="G59" s="6"/>
      <c r="H59" s="5" t="s">
        <v>83</v>
      </c>
      <c r="I59" s="46" t="str">
        <f t="shared" si="0"/>
        <v>I</v>
      </c>
    </row>
    <row r="60" spans="1:9" ht="15">
      <c r="A60" s="40">
        <v>43923</v>
      </c>
      <c r="B60" s="5"/>
      <c r="C60" s="5" t="s">
        <v>86</v>
      </c>
      <c r="D60" s="6"/>
      <c r="E60" s="6"/>
      <c r="F60" s="6"/>
      <c r="G60" s="6">
        <v>49.75</v>
      </c>
      <c r="H60" s="5" t="s">
        <v>87</v>
      </c>
      <c r="I60" s="46" t="str">
        <f t="shared" si="0"/>
        <v>U</v>
      </c>
    </row>
    <row r="61" spans="1:9" ht="15">
      <c r="A61" s="40">
        <v>43929</v>
      </c>
      <c r="B61" s="5"/>
      <c r="C61" s="5" t="s">
        <v>10</v>
      </c>
      <c r="D61" s="6"/>
      <c r="E61" s="6"/>
      <c r="F61" s="6">
        <v>550</v>
      </c>
      <c r="G61" s="6"/>
      <c r="H61" s="5" t="s">
        <v>83</v>
      </c>
      <c r="I61" s="46" t="str">
        <f>IF(OR(LEN(D61)&gt;0,LEN(F61)&gt;0),"I",IF(OR(LEN(E61)&gt;0,LEN(G61)&gt;0),"U",""))</f>
        <v>I</v>
      </c>
    </row>
    <row r="62" spans="1:9" ht="15">
      <c r="A62" s="40">
        <v>43929</v>
      </c>
      <c r="B62" s="5"/>
      <c r="C62" s="5" t="s">
        <v>86</v>
      </c>
      <c r="D62" s="6"/>
      <c r="E62" s="6"/>
      <c r="F62" s="6"/>
      <c r="G62" s="6">
        <v>1.5</v>
      </c>
      <c r="H62" s="5" t="s">
        <v>87</v>
      </c>
      <c r="I62" s="46" t="str">
        <f>IF(OR(LEN(D62)&gt;0,LEN(F62)&gt;0),"I",IF(OR(LEN(E62)&gt;0,LEN(G62)&gt;0),"U",""))</f>
        <v>U</v>
      </c>
    </row>
    <row r="63" spans="1:9" ht="15">
      <c r="A63" s="40">
        <v>43934</v>
      </c>
      <c r="B63" s="5">
        <v>24</v>
      </c>
      <c r="C63" s="5" t="s">
        <v>124</v>
      </c>
      <c r="D63" s="6"/>
      <c r="E63" s="6"/>
      <c r="F63" s="6"/>
      <c r="G63" s="6">
        <v>632</v>
      </c>
      <c r="H63" s="5" t="s">
        <v>115</v>
      </c>
      <c r="I63" s="46" t="str">
        <f aca="true" t="shared" si="3" ref="I63">IF(OR(LEN(D63)&gt;0,LEN(F63)&gt;0),"I",IF(OR(LEN(E63)&gt;0,LEN(G63)&gt;0),"U",""))</f>
        <v>U</v>
      </c>
    </row>
    <row r="64" spans="1:9" ht="15">
      <c r="A64" s="40">
        <v>43934</v>
      </c>
      <c r="B64" s="5">
        <v>25</v>
      </c>
      <c r="C64" s="5" t="s">
        <v>102</v>
      </c>
      <c r="D64" s="6"/>
      <c r="E64" s="6"/>
      <c r="F64" s="6"/>
      <c r="G64" s="6">
        <v>171.38</v>
      </c>
      <c r="H64" s="5" t="s">
        <v>103</v>
      </c>
      <c r="I64" s="46" t="str">
        <f t="shared" si="0"/>
        <v>U</v>
      </c>
    </row>
    <row r="65" spans="1:9" ht="15">
      <c r="A65" s="40">
        <v>43934</v>
      </c>
      <c r="B65" s="5">
        <v>26</v>
      </c>
      <c r="C65" s="5" t="s">
        <v>80</v>
      </c>
      <c r="D65" s="6"/>
      <c r="E65" s="6"/>
      <c r="F65" s="6"/>
      <c r="G65" s="6">
        <v>349.6</v>
      </c>
      <c r="H65" s="5" t="s">
        <v>58</v>
      </c>
      <c r="I65" s="46" t="str">
        <f t="shared" si="0"/>
        <v>U</v>
      </c>
    </row>
    <row r="66" spans="1:9" ht="15">
      <c r="A66" s="40">
        <v>43943</v>
      </c>
      <c r="B66" s="5"/>
      <c r="C66" s="5" t="s">
        <v>10</v>
      </c>
      <c r="D66" s="6"/>
      <c r="E66" s="6"/>
      <c r="F66" s="6">
        <v>450</v>
      </c>
      <c r="G66" s="6"/>
      <c r="H66" s="5" t="s">
        <v>83</v>
      </c>
      <c r="I66" s="46" t="str">
        <f t="shared" si="0"/>
        <v>I</v>
      </c>
    </row>
    <row r="67" spans="1:9" ht="15">
      <c r="A67" s="40">
        <v>43949</v>
      </c>
      <c r="B67" s="5">
        <v>27</v>
      </c>
      <c r="C67" s="5" t="s">
        <v>125</v>
      </c>
      <c r="D67" s="6"/>
      <c r="E67" s="6"/>
      <c r="F67" s="6"/>
      <c r="G67" s="6">
        <v>425</v>
      </c>
      <c r="H67" s="5" t="s">
        <v>60</v>
      </c>
      <c r="I67" s="46" t="str">
        <f t="shared" si="0"/>
        <v>U</v>
      </c>
    </row>
    <row r="68" spans="1:9" ht="15">
      <c r="A68" s="40">
        <v>43951</v>
      </c>
      <c r="B68" s="5"/>
      <c r="C68" s="5" t="s">
        <v>126</v>
      </c>
      <c r="D68" s="6"/>
      <c r="E68" s="6"/>
      <c r="F68" s="6"/>
      <c r="G68" s="6">
        <v>100</v>
      </c>
      <c r="H68" s="5" t="s">
        <v>87</v>
      </c>
      <c r="I68" s="46" t="str">
        <f t="shared" si="0"/>
        <v>U</v>
      </c>
    </row>
    <row r="69" spans="1:9" ht="15">
      <c r="A69" s="40">
        <v>43963</v>
      </c>
      <c r="B69" s="5">
        <v>28</v>
      </c>
      <c r="C69" s="5" t="s">
        <v>127</v>
      </c>
      <c r="D69" s="6"/>
      <c r="E69" s="6"/>
      <c r="F69" s="6"/>
      <c r="G69" s="6">
        <v>300</v>
      </c>
      <c r="H69" s="5" t="s">
        <v>128</v>
      </c>
      <c r="I69" s="46" t="str">
        <f t="shared" si="0"/>
        <v>U</v>
      </c>
    </row>
    <row r="70" spans="1:9" ht="15">
      <c r="A70" s="40">
        <v>43969</v>
      </c>
      <c r="B70" s="5">
        <v>29</v>
      </c>
      <c r="C70" s="5" t="s">
        <v>129</v>
      </c>
      <c r="D70" s="6"/>
      <c r="E70" s="6"/>
      <c r="F70" s="6"/>
      <c r="G70" s="6">
        <v>100</v>
      </c>
      <c r="H70" s="5" t="s">
        <v>103</v>
      </c>
      <c r="I70" s="46" t="str">
        <f>IF(OR(LEN(D70)&gt;0,LEN(F70)&gt;0),"I",IF(OR(LEN(E70)&gt;0,LEN(G70)&gt;0),"U",""))</f>
        <v>U</v>
      </c>
    </row>
    <row r="71" spans="1:9" ht="15">
      <c r="A71" s="40">
        <v>43986</v>
      </c>
      <c r="B71" s="5"/>
      <c r="C71" s="5" t="s">
        <v>10</v>
      </c>
      <c r="D71" s="6"/>
      <c r="E71" s="6"/>
      <c r="F71" s="6">
        <v>300</v>
      </c>
      <c r="G71" s="6"/>
      <c r="H71" s="5" t="s">
        <v>83</v>
      </c>
      <c r="I71" s="46" t="str">
        <f>IF(OR(LEN(D71)&gt;0,LEN(F71)&gt;0),"I",IF(OR(LEN(E71)&gt;0,LEN(G71)&gt;0),"U",""))</f>
        <v>I</v>
      </c>
    </row>
    <row r="72" spans="1:9" ht="15">
      <c r="A72" s="40">
        <v>29.5</v>
      </c>
      <c r="B72" s="5">
        <v>30</v>
      </c>
      <c r="C72" s="5" t="s">
        <v>130</v>
      </c>
      <c r="D72" s="6"/>
      <c r="E72" s="6"/>
      <c r="F72" s="6"/>
      <c r="G72" s="6">
        <v>296.44</v>
      </c>
      <c r="H72" s="5" t="s">
        <v>115</v>
      </c>
      <c r="I72" s="46" t="str">
        <f aca="true" t="shared" si="4" ref="I72">IF(OR(LEN(D72)&gt;0,LEN(F72)&gt;0),"I",IF(OR(LEN(E72)&gt;0,LEN(G72)&gt;0),"U",""))</f>
        <v>U</v>
      </c>
    </row>
    <row r="73" spans="1:9" ht="15">
      <c r="A73" s="40">
        <v>44008</v>
      </c>
      <c r="B73" s="5">
        <v>31</v>
      </c>
      <c r="C73" s="5" t="s">
        <v>131</v>
      </c>
      <c r="D73" s="6"/>
      <c r="E73" s="6"/>
      <c r="F73" s="6"/>
      <c r="G73" s="6">
        <v>52</v>
      </c>
      <c r="H73" s="5" t="s">
        <v>90</v>
      </c>
      <c r="I73" s="46" t="str">
        <f t="shared" si="0"/>
        <v>U</v>
      </c>
    </row>
    <row r="74" spans="1:9" ht="15">
      <c r="A74" s="40">
        <v>44012</v>
      </c>
      <c r="B74" s="5"/>
      <c r="C74" s="5" t="s">
        <v>132</v>
      </c>
      <c r="D74" s="6"/>
      <c r="E74" s="6"/>
      <c r="F74" s="6"/>
      <c r="G74" s="6">
        <v>21</v>
      </c>
      <c r="H74" s="5" t="s">
        <v>87</v>
      </c>
      <c r="I74" s="46" t="str">
        <f t="shared" si="0"/>
        <v>U</v>
      </c>
    </row>
    <row r="75" spans="1:9" ht="15">
      <c r="A75" s="40">
        <v>44378</v>
      </c>
      <c r="B75" s="5">
        <v>32</v>
      </c>
      <c r="C75" s="5" t="s">
        <v>133</v>
      </c>
      <c r="D75" s="6"/>
      <c r="E75" s="6"/>
      <c r="F75" s="6"/>
      <c r="G75" s="6">
        <v>1304.65</v>
      </c>
      <c r="H75" s="5" t="s">
        <v>108</v>
      </c>
      <c r="I75" s="46" t="str">
        <f t="shared" si="0"/>
        <v>U</v>
      </c>
    </row>
    <row r="76" spans="1:9" ht="15">
      <c r="A76" s="40">
        <v>44383</v>
      </c>
      <c r="B76" s="5">
        <v>33</v>
      </c>
      <c r="C76" s="5" t="s">
        <v>134</v>
      </c>
      <c r="D76" s="6"/>
      <c r="E76" s="6"/>
      <c r="F76" s="6"/>
      <c r="G76" s="6">
        <v>760</v>
      </c>
      <c r="H76" s="5" t="s">
        <v>60</v>
      </c>
      <c r="I76" s="46" t="str">
        <f t="shared" si="0"/>
        <v>U</v>
      </c>
    </row>
    <row r="77" spans="1:9" ht="15">
      <c r="A77" s="40">
        <v>44387</v>
      </c>
      <c r="B77" s="5">
        <v>34</v>
      </c>
      <c r="C77" s="5" t="s">
        <v>102</v>
      </c>
      <c r="D77" s="6"/>
      <c r="E77" s="6"/>
      <c r="F77" s="6"/>
      <c r="G77" s="6">
        <v>412.88</v>
      </c>
      <c r="H77" s="5" t="s">
        <v>103</v>
      </c>
      <c r="I77" s="46" t="str">
        <f t="shared" si="0"/>
        <v>U</v>
      </c>
    </row>
    <row r="78" spans="1:9" ht="15">
      <c r="A78" s="40">
        <v>44407</v>
      </c>
      <c r="B78" s="5">
        <v>35</v>
      </c>
      <c r="C78" s="5" t="s">
        <v>135</v>
      </c>
      <c r="D78" s="6"/>
      <c r="E78" s="6"/>
      <c r="F78" s="6"/>
      <c r="G78" s="6">
        <v>200</v>
      </c>
      <c r="H78" s="5" t="s">
        <v>60</v>
      </c>
      <c r="I78" s="46" t="str">
        <f t="shared" si="0"/>
        <v>U</v>
      </c>
    </row>
    <row r="79" spans="1:9" ht="15">
      <c r="A79" s="40">
        <v>44434</v>
      </c>
      <c r="B79" s="5">
        <v>36</v>
      </c>
      <c r="C79" s="5" t="s">
        <v>136</v>
      </c>
      <c r="D79" s="6"/>
      <c r="E79" s="6"/>
      <c r="F79" s="6">
        <v>5598</v>
      </c>
      <c r="G79" s="6"/>
      <c r="H79" s="5" t="s">
        <v>137</v>
      </c>
      <c r="I79" s="46" t="str">
        <f aca="true" t="shared" si="5" ref="I79:I134">IF(OR(LEN(D79)&gt;0,LEN(F79)&gt;0),"I",IF(OR(LEN(E79)&gt;0,LEN(G79)&gt;0),"U",""))</f>
        <v>I</v>
      </c>
    </row>
    <row r="80" spans="1:9" ht="15">
      <c r="A80" s="40">
        <v>44439</v>
      </c>
      <c r="B80" s="5"/>
      <c r="C80" s="5" t="s">
        <v>10</v>
      </c>
      <c r="D80" s="6"/>
      <c r="E80" s="6"/>
      <c r="F80" s="6">
        <v>150</v>
      </c>
      <c r="G80" s="6"/>
      <c r="H80" s="5" t="s">
        <v>83</v>
      </c>
      <c r="I80" s="46"/>
    </row>
    <row r="81" spans="1:9" ht="15">
      <c r="A81" s="40">
        <v>44439</v>
      </c>
      <c r="B81" s="5"/>
      <c r="C81" s="5" t="s">
        <v>86</v>
      </c>
      <c r="D81" s="6"/>
      <c r="E81" s="6"/>
      <c r="F81" s="6"/>
      <c r="G81" s="6">
        <v>49.75</v>
      </c>
      <c r="H81" s="5" t="s">
        <v>87</v>
      </c>
      <c r="I81" s="46" t="str">
        <f t="shared" si="5"/>
        <v>U</v>
      </c>
    </row>
    <row r="82" spans="1:9" ht="15">
      <c r="A82" s="40">
        <v>44440</v>
      </c>
      <c r="B82" s="5"/>
      <c r="C82" s="5" t="s">
        <v>10</v>
      </c>
      <c r="D82" s="6"/>
      <c r="E82" s="6"/>
      <c r="F82" s="6">
        <v>150</v>
      </c>
      <c r="G82" s="6"/>
      <c r="H82" s="5" t="s">
        <v>83</v>
      </c>
      <c r="I82" s="46" t="str">
        <f t="shared" si="5"/>
        <v>I</v>
      </c>
    </row>
    <row r="83" spans="1:9" ht="15">
      <c r="A83" s="40">
        <v>44440</v>
      </c>
      <c r="B83" s="5"/>
      <c r="C83" s="5" t="s">
        <v>86</v>
      </c>
      <c r="D83" s="6"/>
      <c r="E83" s="6"/>
      <c r="F83" s="6"/>
      <c r="G83" s="6">
        <v>0.75</v>
      </c>
      <c r="H83" s="5" t="s">
        <v>87</v>
      </c>
      <c r="I83" s="46" t="str">
        <f t="shared" si="5"/>
        <v>U</v>
      </c>
    </row>
    <row r="84" spans="1:9" ht="15">
      <c r="A84" s="40">
        <v>44440</v>
      </c>
      <c r="B84" s="5">
        <v>37</v>
      </c>
      <c r="C84" s="5" t="s">
        <v>138</v>
      </c>
      <c r="D84" s="6"/>
      <c r="E84" s="6"/>
      <c r="F84" s="6"/>
      <c r="G84" s="6">
        <v>200</v>
      </c>
      <c r="H84" s="5" t="s">
        <v>115</v>
      </c>
      <c r="I84" s="46" t="str">
        <f t="shared" si="5"/>
        <v>U</v>
      </c>
    </row>
    <row r="85" spans="1:9" ht="15">
      <c r="A85" s="40">
        <v>44446</v>
      </c>
      <c r="B85" s="5"/>
      <c r="C85" s="5" t="s">
        <v>10</v>
      </c>
      <c r="D85" s="6"/>
      <c r="E85" s="6"/>
      <c r="F85" s="6">
        <v>250</v>
      </c>
      <c r="G85" s="6"/>
      <c r="H85" s="5" t="s">
        <v>83</v>
      </c>
      <c r="I85" s="46" t="str">
        <f t="shared" si="5"/>
        <v>I</v>
      </c>
    </row>
    <row r="86" spans="1:9" ht="15">
      <c r="A86" s="40">
        <v>44446</v>
      </c>
      <c r="B86" s="5"/>
      <c r="C86" s="5" t="s">
        <v>86</v>
      </c>
      <c r="D86" s="6"/>
      <c r="E86" s="6"/>
      <c r="F86" s="6"/>
      <c r="G86" s="6">
        <v>50.5</v>
      </c>
      <c r="H86" s="5" t="s">
        <v>87</v>
      </c>
      <c r="I86" s="46" t="str">
        <f t="shared" si="5"/>
        <v>U</v>
      </c>
    </row>
    <row r="87" spans="1:9" ht="15">
      <c r="A87" s="40">
        <v>44446</v>
      </c>
      <c r="B87" s="5">
        <v>38</v>
      </c>
      <c r="C87" s="5" t="s">
        <v>139</v>
      </c>
      <c r="D87" s="6"/>
      <c r="E87" s="6"/>
      <c r="F87" s="6"/>
      <c r="G87" s="6">
        <v>249</v>
      </c>
      <c r="H87" s="5" t="s">
        <v>128</v>
      </c>
      <c r="I87" s="46" t="str">
        <f t="shared" si="5"/>
        <v>U</v>
      </c>
    </row>
    <row r="88" spans="1:9" ht="15">
      <c r="A88" s="40">
        <v>44446</v>
      </c>
      <c r="B88" s="5">
        <v>39</v>
      </c>
      <c r="C88" s="5" t="s">
        <v>140</v>
      </c>
      <c r="D88" s="6"/>
      <c r="E88" s="6"/>
      <c r="F88" s="6"/>
      <c r="G88" s="6">
        <v>1565</v>
      </c>
      <c r="H88" s="5" t="s">
        <v>115</v>
      </c>
      <c r="I88" s="46" t="str">
        <f t="shared" si="5"/>
        <v>U</v>
      </c>
    </row>
    <row r="89" spans="1:9" ht="15">
      <c r="A89" s="40">
        <v>44446</v>
      </c>
      <c r="B89" s="5">
        <v>40</v>
      </c>
      <c r="C89" s="5" t="s">
        <v>141</v>
      </c>
      <c r="D89" s="6"/>
      <c r="E89" s="6"/>
      <c r="F89" s="6"/>
      <c r="G89" s="6">
        <v>77</v>
      </c>
      <c r="H89" s="5" t="s">
        <v>63</v>
      </c>
      <c r="I89" s="46" t="str">
        <f aca="true" t="shared" si="6" ref="I89">IF(OR(LEN(D89)&gt;0,LEN(F89)&gt;0),"I",IF(OR(LEN(E89)&gt;0,LEN(G89)&gt;0),"U",""))</f>
        <v>U</v>
      </c>
    </row>
    <row r="90" spans="1:9" ht="15">
      <c r="A90" s="40">
        <v>44446</v>
      </c>
      <c r="B90" s="5"/>
      <c r="C90" s="5" t="s">
        <v>10</v>
      </c>
      <c r="D90" s="6"/>
      <c r="E90" s="6"/>
      <c r="F90" s="6">
        <v>150</v>
      </c>
      <c r="G90" s="6"/>
      <c r="H90" s="5" t="s">
        <v>83</v>
      </c>
      <c r="I90" s="46" t="str">
        <f t="shared" si="5"/>
        <v>I</v>
      </c>
    </row>
    <row r="91" spans="1:9" ht="15">
      <c r="A91" s="40">
        <v>44446</v>
      </c>
      <c r="B91" s="5"/>
      <c r="C91" s="5" t="s">
        <v>86</v>
      </c>
      <c r="D91" s="6"/>
      <c r="E91" s="6"/>
      <c r="F91" s="6"/>
      <c r="G91" s="6">
        <v>0.75</v>
      </c>
      <c r="H91" s="5" t="s">
        <v>87</v>
      </c>
      <c r="I91" s="46" t="str">
        <f t="shared" si="5"/>
        <v>U</v>
      </c>
    </row>
    <row r="92" spans="1:9" ht="15">
      <c r="A92" s="40">
        <v>44453</v>
      </c>
      <c r="B92" s="5"/>
      <c r="C92" s="5" t="s">
        <v>10</v>
      </c>
      <c r="D92" s="6"/>
      <c r="E92" s="6"/>
      <c r="F92" s="6">
        <v>100</v>
      </c>
      <c r="G92" s="6"/>
      <c r="H92" s="5" t="s">
        <v>83</v>
      </c>
      <c r="I92" s="46" t="str">
        <f t="shared" si="5"/>
        <v>I</v>
      </c>
    </row>
    <row r="93" spans="1:9" ht="15">
      <c r="A93" s="40">
        <v>44453</v>
      </c>
      <c r="B93" s="5"/>
      <c r="C93" s="5" t="s">
        <v>86</v>
      </c>
      <c r="D93" s="6"/>
      <c r="E93" s="6"/>
      <c r="F93" s="6"/>
      <c r="G93" s="6">
        <v>0.75</v>
      </c>
      <c r="H93" s="5" t="s">
        <v>87</v>
      </c>
      <c r="I93" s="46" t="str">
        <f t="shared" si="5"/>
        <v>U</v>
      </c>
    </row>
    <row r="94" spans="1:9" ht="15">
      <c r="A94" s="40">
        <v>44453</v>
      </c>
      <c r="B94" s="5"/>
      <c r="C94" s="5" t="s">
        <v>10</v>
      </c>
      <c r="D94" s="6"/>
      <c r="E94" s="6"/>
      <c r="F94" s="6">
        <v>150</v>
      </c>
      <c r="G94" s="6"/>
      <c r="H94" s="5" t="s">
        <v>83</v>
      </c>
      <c r="I94" s="46" t="str">
        <f t="shared" si="5"/>
        <v>I</v>
      </c>
    </row>
    <row r="95" spans="1:9" ht="15">
      <c r="A95" s="40">
        <v>44454</v>
      </c>
      <c r="B95" s="5">
        <v>41</v>
      </c>
      <c r="C95" s="40" t="s">
        <v>142</v>
      </c>
      <c r="D95" s="6"/>
      <c r="E95" s="6"/>
      <c r="F95" s="6"/>
      <c r="G95" s="6">
        <v>147</v>
      </c>
      <c r="H95" s="5" t="s">
        <v>87</v>
      </c>
      <c r="I95" s="46" t="str">
        <f t="shared" si="5"/>
        <v>U</v>
      </c>
    </row>
    <row r="96" spans="1:9" ht="15">
      <c r="A96" s="40">
        <v>44454</v>
      </c>
      <c r="B96" s="5">
        <v>42</v>
      </c>
      <c r="C96" s="5" t="s">
        <v>122</v>
      </c>
      <c r="D96" s="6"/>
      <c r="E96" s="6"/>
      <c r="F96" s="6"/>
      <c r="G96" s="6">
        <v>1940</v>
      </c>
      <c r="H96" s="5" t="s">
        <v>60</v>
      </c>
      <c r="I96" s="46" t="str">
        <f t="shared" si="5"/>
        <v>U</v>
      </c>
    </row>
    <row r="97" spans="1:12" ht="15">
      <c r="A97" s="40">
        <v>44455</v>
      </c>
      <c r="B97" s="5"/>
      <c r="C97" s="5" t="s">
        <v>10</v>
      </c>
      <c r="D97" s="6"/>
      <c r="E97" s="6"/>
      <c r="F97" s="6">
        <f>450+4550</f>
        <v>5000</v>
      </c>
      <c r="G97" s="6"/>
      <c r="H97" s="5" t="s">
        <v>83</v>
      </c>
      <c r="I97" s="46" t="str">
        <f t="shared" si="5"/>
        <v>I</v>
      </c>
      <c r="L97">
        <f>150+697.5+150+746.25+447.75+149.25+397.75+2537.25+150</f>
        <v>5425.75</v>
      </c>
    </row>
    <row r="98" spans="1:9" ht="15">
      <c r="A98" s="40">
        <v>44455</v>
      </c>
      <c r="B98" s="5"/>
      <c r="C98" s="5" t="s">
        <v>86</v>
      </c>
      <c r="D98" s="6"/>
      <c r="E98" s="6"/>
      <c r="F98" s="6"/>
      <c r="G98" s="6">
        <v>29.25</v>
      </c>
      <c r="H98" s="5" t="s">
        <v>87</v>
      </c>
      <c r="I98" s="46" t="str">
        <f t="shared" si="5"/>
        <v>U</v>
      </c>
    </row>
    <row r="99" spans="1:12" ht="15">
      <c r="A99" s="40">
        <v>44463</v>
      </c>
      <c r="B99" s="5"/>
      <c r="C99" s="5" t="s">
        <v>146</v>
      </c>
      <c r="D99" s="6">
        <v>350</v>
      </c>
      <c r="E99" s="6"/>
      <c r="F99" s="6"/>
      <c r="G99" s="6"/>
      <c r="H99" s="5" t="s">
        <v>105</v>
      </c>
      <c r="I99" s="46" t="str">
        <f t="shared" si="5"/>
        <v>I</v>
      </c>
      <c r="L99" s="25">
        <f>+F97+F99-G98</f>
        <v>4970.75</v>
      </c>
    </row>
    <row r="100" spans="1:9" ht="15">
      <c r="A100" s="40">
        <v>44463</v>
      </c>
      <c r="B100" s="5"/>
      <c r="C100" s="5" t="s">
        <v>147</v>
      </c>
      <c r="D100" s="6">
        <v>100</v>
      </c>
      <c r="E100" s="6"/>
      <c r="F100" s="6"/>
      <c r="G100" s="6"/>
      <c r="H100" s="5" t="s">
        <v>83</v>
      </c>
      <c r="I100" s="46" t="str">
        <f t="shared" si="5"/>
        <v>I</v>
      </c>
    </row>
    <row r="101" spans="1:9" ht="15">
      <c r="A101" s="40">
        <v>44463</v>
      </c>
      <c r="B101" s="5"/>
      <c r="C101" s="40" t="s">
        <v>144</v>
      </c>
      <c r="D101" s="6">
        <v>605</v>
      </c>
      <c r="E101" s="6"/>
      <c r="F101" s="6"/>
      <c r="G101" s="6"/>
      <c r="H101" s="5" t="s">
        <v>143</v>
      </c>
      <c r="I101" s="46" t="str">
        <f t="shared" si="5"/>
        <v>I</v>
      </c>
    </row>
    <row r="102" spans="1:9" ht="15">
      <c r="A102" s="40">
        <v>44464</v>
      </c>
      <c r="B102" s="5"/>
      <c r="C102" s="5" t="s">
        <v>144</v>
      </c>
      <c r="D102" s="6"/>
      <c r="E102" s="6"/>
      <c r="F102" s="6">
        <v>455</v>
      </c>
      <c r="G102" s="6"/>
      <c r="H102" s="5" t="s">
        <v>143</v>
      </c>
      <c r="I102" s="46" t="str">
        <f t="shared" si="5"/>
        <v>I</v>
      </c>
    </row>
    <row r="103" spans="1:9" ht="15">
      <c r="A103" s="40">
        <v>44468</v>
      </c>
      <c r="B103" s="5"/>
      <c r="C103" s="5" t="s">
        <v>145</v>
      </c>
      <c r="D103" s="6"/>
      <c r="E103" s="6"/>
      <c r="F103" s="6">
        <v>334.02</v>
      </c>
      <c r="G103" s="6"/>
      <c r="H103" s="5" t="s">
        <v>105</v>
      </c>
      <c r="I103" s="46" t="str">
        <f t="shared" si="5"/>
        <v>I</v>
      </c>
    </row>
    <row r="104" spans="1:9" ht="15">
      <c r="A104" s="40">
        <v>44469</v>
      </c>
      <c r="B104" s="5"/>
      <c r="C104" s="40" t="s">
        <v>10</v>
      </c>
      <c r="D104" s="6"/>
      <c r="E104" s="6"/>
      <c r="F104" s="6">
        <v>150</v>
      </c>
      <c r="G104" s="6"/>
      <c r="H104" s="5" t="s">
        <v>83</v>
      </c>
      <c r="I104" s="46" t="str">
        <f t="shared" si="5"/>
        <v>I</v>
      </c>
    </row>
    <row r="105" spans="1:9" ht="15">
      <c r="A105" s="40">
        <v>44469</v>
      </c>
      <c r="B105" s="5"/>
      <c r="C105" s="5" t="s">
        <v>123</v>
      </c>
      <c r="D105" s="6"/>
      <c r="E105" s="6"/>
      <c r="F105" s="6"/>
      <c r="G105" s="6">
        <v>15</v>
      </c>
      <c r="H105" s="5" t="s">
        <v>87</v>
      </c>
      <c r="I105" s="46" t="str">
        <f t="shared" si="5"/>
        <v>U</v>
      </c>
    </row>
    <row r="106" spans="1:9" ht="15">
      <c r="A106" s="40">
        <v>44474</v>
      </c>
      <c r="B106" s="5"/>
      <c r="C106" s="5" t="s">
        <v>10</v>
      </c>
      <c r="D106" s="6"/>
      <c r="E106" s="6"/>
      <c r="F106" s="6">
        <v>600</v>
      </c>
      <c r="G106" s="6"/>
      <c r="H106" s="5" t="s">
        <v>83</v>
      </c>
      <c r="I106" s="46" t="str">
        <f t="shared" si="5"/>
        <v>I</v>
      </c>
    </row>
    <row r="107" spans="1:9" ht="15">
      <c r="A107" s="40">
        <v>44474</v>
      </c>
      <c r="B107" s="5"/>
      <c r="C107" s="5" t="s">
        <v>86</v>
      </c>
      <c r="D107" s="6"/>
      <c r="E107" s="6"/>
      <c r="F107" s="6"/>
      <c r="G107" s="6">
        <v>52</v>
      </c>
      <c r="H107" s="5" t="s">
        <v>87</v>
      </c>
      <c r="I107" s="46" t="str">
        <f t="shared" si="5"/>
        <v>U</v>
      </c>
    </row>
    <row r="108" spans="1:9" ht="15">
      <c r="A108" s="40">
        <v>44475</v>
      </c>
      <c r="B108" s="5">
        <v>43</v>
      </c>
      <c r="C108" s="5" t="s">
        <v>148</v>
      </c>
      <c r="D108" s="6"/>
      <c r="E108" s="6">
        <v>1095</v>
      </c>
      <c r="F108" s="6"/>
      <c r="G108" s="6"/>
      <c r="H108" s="5" t="s">
        <v>63</v>
      </c>
      <c r="I108" s="46" t="str">
        <f t="shared" si="5"/>
        <v>U</v>
      </c>
    </row>
    <row r="109" spans="1:9" ht="15">
      <c r="A109" s="40">
        <v>44475</v>
      </c>
      <c r="B109" s="5"/>
      <c r="C109" s="5" t="s">
        <v>149</v>
      </c>
      <c r="D109" s="6"/>
      <c r="E109" s="6">
        <v>300</v>
      </c>
      <c r="F109" s="6"/>
      <c r="G109" s="6"/>
      <c r="H109" s="5" t="s">
        <v>63</v>
      </c>
      <c r="I109" s="46" t="str">
        <f t="shared" si="5"/>
        <v>U</v>
      </c>
    </row>
    <row r="110" spans="1:9" ht="15">
      <c r="A110" s="40">
        <v>44475</v>
      </c>
      <c r="B110" s="5"/>
      <c r="C110" s="5" t="s">
        <v>150</v>
      </c>
      <c r="D110" s="6"/>
      <c r="E110" s="6">
        <v>300</v>
      </c>
      <c r="F110" s="6"/>
      <c r="G110" s="6"/>
      <c r="H110" s="5" t="s">
        <v>90</v>
      </c>
      <c r="I110" s="46" t="str">
        <f t="shared" si="5"/>
        <v>U</v>
      </c>
    </row>
    <row r="111" spans="1:9" ht="15">
      <c r="A111" s="40">
        <v>44476</v>
      </c>
      <c r="B111" s="5">
        <v>44</v>
      </c>
      <c r="C111" s="5" t="s">
        <v>151</v>
      </c>
      <c r="D111" s="6"/>
      <c r="E111" s="6"/>
      <c r="F111" s="6"/>
      <c r="G111" s="6">
        <v>330</v>
      </c>
      <c r="H111" s="5" t="s">
        <v>115</v>
      </c>
      <c r="I111" s="46" t="str">
        <f t="shared" si="5"/>
        <v>U</v>
      </c>
    </row>
    <row r="112" spans="1:9" ht="15">
      <c r="A112" s="40">
        <v>44482</v>
      </c>
      <c r="B112" s="5"/>
      <c r="C112" s="5" t="s">
        <v>10</v>
      </c>
      <c r="D112" s="6"/>
      <c r="E112" s="6"/>
      <c r="F112" s="6">
        <v>150</v>
      </c>
      <c r="G112" s="6"/>
      <c r="H112" s="5" t="s">
        <v>83</v>
      </c>
      <c r="I112" s="46" t="str">
        <f t="shared" si="5"/>
        <v>I</v>
      </c>
    </row>
    <row r="113" spans="1:9" ht="15">
      <c r="A113" s="40">
        <v>44483</v>
      </c>
      <c r="B113" s="5">
        <v>45</v>
      </c>
      <c r="C113" s="5" t="s">
        <v>102</v>
      </c>
      <c r="D113" s="6"/>
      <c r="E113" s="6"/>
      <c r="F113" s="6"/>
      <c r="G113" s="6">
        <v>408.06</v>
      </c>
      <c r="H113" s="5" t="s">
        <v>103</v>
      </c>
      <c r="I113" s="46" t="str">
        <f t="shared" si="5"/>
        <v>U</v>
      </c>
    </row>
    <row r="114" spans="1:9" ht="15">
      <c r="A114" s="40">
        <v>44502</v>
      </c>
      <c r="B114" s="5"/>
      <c r="C114" s="5" t="s">
        <v>152</v>
      </c>
      <c r="D114" s="6"/>
      <c r="E114" s="6"/>
      <c r="F114" s="6"/>
      <c r="G114" s="6">
        <v>200</v>
      </c>
      <c r="H114" s="5" t="s">
        <v>87</v>
      </c>
      <c r="I114" s="46" t="str">
        <f t="shared" si="5"/>
        <v>U</v>
      </c>
    </row>
    <row r="115" spans="1:9" ht="15">
      <c r="A115" s="40">
        <v>44504</v>
      </c>
      <c r="B115" s="5">
        <v>46</v>
      </c>
      <c r="C115" s="5" t="s">
        <v>153</v>
      </c>
      <c r="D115" s="6"/>
      <c r="E115" s="6"/>
      <c r="F115" s="6"/>
      <c r="G115" s="6">
        <v>343.06</v>
      </c>
      <c r="H115" s="5" t="s">
        <v>63</v>
      </c>
      <c r="I115" s="46" t="str">
        <f t="shared" si="5"/>
        <v>U</v>
      </c>
    </row>
    <row r="116" spans="1:9" ht="15">
      <c r="A116" s="40">
        <v>44509</v>
      </c>
      <c r="B116" s="5"/>
      <c r="C116" s="5" t="s">
        <v>154</v>
      </c>
      <c r="D116" s="6"/>
      <c r="E116" s="6"/>
      <c r="F116" s="6">
        <v>1032.5</v>
      </c>
      <c r="G116" s="6"/>
      <c r="H116" s="5" t="s">
        <v>105</v>
      </c>
      <c r="I116" s="46" t="str">
        <f t="shared" si="5"/>
        <v>I</v>
      </c>
    </row>
    <row r="117" spans="1:9" ht="15">
      <c r="A117" s="40">
        <v>44517</v>
      </c>
      <c r="B117" s="5">
        <v>47</v>
      </c>
      <c r="C117" s="40" t="s">
        <v>95</v>
      </c>
      <c r="D117" s="6"/>
      <c r="E117" s="6">
        <v>750</v>
      </c>
      <c r="F117" s="6">
        <v>750</v>
      </c>
      <c r="G117" s="6"/>
      <c r="H117" s="5"/>
      <c r="I117" s="46" t="str">
        <f t="shared" si="5"/>
        <v>I</v>
      </c>
    </row>
    <row r="118" spans="1:9" ht="15">
      <c r="A118" s="40">
        <v>44530</v>
      </c>
      <c r="B118" s="5"/>
      <c r="C118" s="5" t="s">
        <v>155</v>
      </c>
      <c r="D118" s="6"/>
      <c r="E118" s="6"/>
      <c r="F118" s="6">
        <v>185</v>
      </c>
      <c r="G118" s="6"/>
      <c r="H118" s="5" t="s">
        <v>105</v>
      </c>
      <c r="I118" s="46" t="str">
        <f t="shared" si="5"/>
        <v>I</v>
      </c>
    </row>
    <row r="119" spans="1:9" ht="15">
      <c r="A119" s="40">
        <v>44530</v>
      </c>
      <c r="B119" s="5"/>
      <c r="C119" s="5" t="s">
        <v>86</v>
      </c>
      <c r="D119" s="6"/>
      <c r="E119" s="6"/>
      <c r="F119" s="6"/>
      <c r="G119" s="6">
        <v>49.75</v>
      </c>
      <c r="H119" s="5" t="s">
        <v>87</v>
      </c>
      <c r="I119" s="46" t="str">
        <f t="shared" si="5"/>
        <v>U</v>
      </c>
    </row>
    <row r="120" spans="1:9" ht="15">
      <c r="A120" s="40">
        <v>44531</v>
      </c>
      <c r="B120" s="5"/>
      <c r="C120" s="5" t="s">
        <v>156</v>
      </c>
      <c r="D120" s="6"/>
      <c r="E120" s="6"/>
      <c r="F120" s="6">
        <v>150</v>
      </c>
      <c r="G120" s="6"/>
      <c r="H120" s="5" t="s">
        <v>83</v>
      </c>
      <c r="I120" s="46" t="str">
        <f t="shared" si="5"/>
        <v>I</v>
      </c>
    </row>
    <row r="121" spans="1:9" ht="15">
      <c r="A121" s="40">
        <v>44531</v>
      </c>
      <c r="B121" s="5">
        <v>48</v>
      </c>
      <c r="C121" s="5" t="s">
        <v>157</v>
      </c>
      <c r="D121" s="6"/>
      <c r="E121" s="6"/>
      <c r="F121" s="6"/>
      <c r="G121" s="6">
        <v>528</v>
      </c>
      <c r="H121" s="5" t="s">
        <v>90</v>
      </c>
      <c r="I121" s="46" t="str">
        <f t="shared" si="5"/>
        <v>U</v>
      </c>
    </row>
    <row r="122" spans="1:9" ht="15">
      <c r="A122" s="40">
        <v>44534</v>
      </c>
      <c r="B122" s="5">
        <v>49</v>
      </c>
      <c r="C122" s="5" t="s">
        <v>158</v>
      </c>
      <c r="D122" s="6"/>
      <c r="E122" s="6"/>
      <c r="F122" s="6"/>
      <c r="G122" s="6">
        <v>400</v>
      </c>
      <c r="H122" s="5" t="s">
        <v>128</v>
      </c>
      <c r="I122" s="46" t="str">
        <f t="shared" si="5"/>
        <v>U</v>
      </c>
    </row>
    <row r="123" spans="1:9" ht="15">
      <c r="A123" s="40">
        <v>44534</v>
      </c>
      <c r="B123" s="5">
        <v>50</v>
      </c>
      <c r="C123" s="5" t="s">
        <v>159</v>
      </c>
      <c r="D123" s="6"/>
      <c r="E123" s="6"/>
      <c r="F123" s="6"/>
      <c r="G123" s="6">
        <v>5382.66</v>
      </c>
      <c r="H123" s="5" t="s">
        <v>115</v>
      </c>
      <c r="I123" s="46" t="str">
        <f t="shared" si="5"/>
        <v>U</v>
      </c>
    </row>
    <row r="124" spans="1:9" ht="15">
      <c r="A124" s="40">
        <v>44544</v>
      </c>
      <c r="B124" s="5"/>
      <c r="C124" s="5" t="s">
        <v>160</v>
      </c>
      <c r="D124" s="6"/>
      <c r="E124" s="6"/>
      <c r="F124" s="6">
        <v>53</v>
      </c>
      <c r="G124" s="6"/>
      <c r="H124" s="5" t="s">
        <v>105</v>
      </c>
      <c r="I124" s="46" t="str">
        <f t="shared" si="5"/>
        <v>I</v>
      </c>
    </row>
    <row r="125" spans="1:9" ht="15">
      <c r="A125" s="40">
        <v>44544</v>
      </c>
      <c r="B125" s="5"/>
      <c r="C125" s="5" t="s">
        <v>86</v>
      </c>
      <c r="D125" s="6"/>
      <c r="E125" s="6"/>
      <c r="F125" s="6"/>
      <c r="G125" s="6">
        <v>49.75</v>
      </c>
      <c r="H125" s="5" t="s">
        <v>87</v>
      </c>
      <c r="I125" s="46" t="str">
        <f t="shared" si="5"/>
        <v>U</v>
      </c>
    </row>
    <row r="126" spans="1:9" ht="15">
      <c r="A126" s="40">
        <v>44545</v>
      </c>
      <c r="B126" s="5">
        <v>51</v>
      </c>
      <c r="C126" s="5" t="s">
        <v>161</v>
      </c>
      <c r="D126" s="6"/>
      <c r="E126" s="6"/>
      <c r="F126" s="6"/>
      <c r="G126" s="6">
        <f>1103+325</f>
        <v>1428</v>
      </c>
      <c r="H126" s="5" t="s">
        <v>128</v>
      </c>
      <c r="I126" s="46" t="str">
        <f t="shared" si="5"/>
        <v>U</v>
      </c>
    </row>
    <row r="127" spans="1:9" ht="15">
      <c r="A127" s="40">
        <v>44545</v>
      </c>
      <c r="B127" s="5">
        <v>51</v>
      </c>
      <c r="C127" s="5" t="s">
        <v>162</v>
      </c>
      <c r="D127" s="6"/>
      <c r="E127" s="6"/>
      <c r="F127" s="6"/>
      <c r="G127" s="6">
        <f>309.7+70.95+46</f>
        <v>426.65</v>
      </c>
      <c r="H127" s="5" t="s">
        <v>115</v>
      </c>
      <c r="I127" s="46" t="str">
        <f t="shared" si="5"/>
        <v>U</v>
      </c>
    </row>
    <row r="128" spans="1:9" ht="15">
      <c r="A128" s="40">
        <v>44545</v>
      </c>
      <c r="B128" s="5">
        <v>52</v>
      </c>
      <c r="C128" s="5" t="s">
        <v>163</v>
      </c>
      <c r="D128" s="6"/>
      <c r="E128" s="6"/>
      <c r="F128" s="6">
        <v>350</v>
      </c>
      <c r="G128" s="6"/>
      <c r="H128" s="5" t="s">
        <v>164</v>
      </c>
      <c r="I128" s="46" t="str">
        <f t="shared" si="5"/>
        <v>I</v>
      </c>
    </row>
    <row r="129" spans="1:9" ht="15">
      <c r="A129" s="40">
        <v>44545</v>
      </c>
      <c r="B129" s="5"/>
      <c r="C129" s="5" t="s">
        <v>165</v>
      </c>
      <c r="D129" s="6"/>
      <c r="E129" s="6"/>
      <c r="F129" s="6"/>
      <c r="G129" s="6">
        <v>1000</v>
      </c>
      <c r="H129" s="5" t="s">
        <v>115</v>
      </c>
      <c r="I129" s="46" t="str">
        <f t="shared" si="5"/>
        <v>U</v>
      </c>
    </row>
    <row r="130" spans="1:9" ht="15">
      <c r="A130" s="40">
        <v>44548</v>
      </c>
      <c r="B130" s="5"/>
      <c r="C130" s="5" t="s">
        <v>166</v>
      </c>
      <c r="D130" s="6"/>
      <c r="E130" s="6"/>
      <c r="F130" s="6">
        <v>5000</v>
      </c>
      <c r="G130" s="6"/>
      <c r="H130" s="5" t="s">
        <v>167</v>
      </c>
      <c r="I130" s="46" t="str">
        <f t="shared" si="5"/>
        <v>I</v>
      </c>
    </row>
    <row r="131" spans="1:9" ht="15">
      <c r="A131" s="40">
        <v>44560</v>
      </c>
      <c r="B131" s="5">
        <v>53</v>
      </c>
      <c r="C131" s="5" t="s">
        <v>168</v>
      </c>
      <c r="D131" s="6"/>
      <c r="E131" s="6"/>
      <c r="F131" s="6"/>
      <c r="G131" s="6">
        <v>2312.5</v>
      </c>
      <c r="H131" s="5" t="s">
        <v>60</v>
      </c>
      <c r="I131" s="46" t="str">
        <f t="shared" si="5"/>
        <v>U</v>
      </c>
    </row>
    <row r="132" spans="1:9" ht="15">
      <c r="A132" s="40">
        <v>44560</v>
      </c>
      <c r="B132" s="5"/>
      <c r="C132" s="5" t="s">
        <v>123</v>
      </c>
      <c r="D132" s="6"/>
      <c r="E132" s="6"/>
      <c r="F132" s="6"/>
      <c r="G132" s="6">
        <v>79</v>
      </c>
      <c r="H132" s="5" t="s">
        <v>87</v>
      </c>
      <c r="I132" s="46" t="str">
        <f t="shared" si="5"/>
        <v>U</v>
      </c>
    </row>
    <row r="133" spans="1:9" ht="15">
      <c r="A133" s="40">
        <v>44560</v>
      </c>
      <c r="B133" s="5"/>
      <c r="C133" s="5" t="s">
        <v>169</v>
      </c>
      <c r="D133" s="6"/>
      <c r="E133" s="6"/>
      <c r="F133" s="6"/>
      <c r="G133" s="6">
        <v>27.92</v>
      </c>
      <c r="H133" s="5" t="s">
        <v>87</v>
      </c>
      <c r="I133" s="46" t="str">
        <f t="shared" si="5"/>
        <v>U</v>
      </c>
    </row>
    <row r="134" spans="1:9" ht="15">
      <c r="A134" s="40"/>
      <c r="B134" s="5"/>
      <c r="C134" s="5"/>
      <c r="D134" s="6"/>
      <c r="E134" s="6"/>
      <c r="F134" s="6"/>
      <c r="G134" s="6"/>
      <c r="H134" s="5"/>
      <c r="I134" s="46" t="str">
        <f t="shared" si="5"/>
        <v/>
      </c>
    </row>
    <row r="135" spans="1:9" s="70" customFormat="1" ht="15">
      <c r="A135" s="79"/>
      <c r="B135" s="79"/>
      <c r="C135" s="79" t="s">
        <v>13</v>
      </c>
      <c r="D135" s="80">
        <f>SUM(D8:D134)</f>
        <v>12599</v>
      </c>
      <c r="E135" s="80">
        <f aca="true" t="shared" si="7" ref="E135:G135">SUM(E8:E134)</f>
        <v>16985</v>
      </c>
      <c r="F135" s="80">
        <f t="shared" si="7"/>
        <v>63596.27</v>
      </c>
      <c r="G135" s="80">
        <f t="shared" si="7"/>
        <v>50365.159999999996</v>
      </c>
      <c r="H135" s="79"/>
      <c r="I135" s="79"/>
    </row>
    <row r="136" spans="1:9" ht="15">
      <c r="A136" s="5"/>
      <c r="B136" s="5"/>
      <c r="C136" s="5" t="s">
        <v>23</v>
      </c>
      <c r="D136" s="6">
        <f>+'Regnskab '!G8</f>
        <v>5329.5</v>
      </c>
      <c r="E136" s="6"/>
      <c r="F136" s="6">
        <f>+'Regnskab '!G7</f>
        <v>42662.95</v>
      </c>
      <c r="G136" s="6"/>
      <c r="H136" s="5"/>
      <c r="I136" s="5"/>
    </row>
    <row r="137" spans="1:9" ht="15">
      <c r="A137" s="5"/>
      <c r="B137" s="5"/>
      <c r="C137" s="5" t="s">
        <v>24</v>
      </c>
      <c r="D137" s="6"/>
      <c r="E137" s="6">
        <f>1693.5-750</f>
        <v>943.5</v>
      </c>
      <c r="F137" s="6"/>
      <c r="G137" s="6">
        <v>55894.06</v>
      </c>
      <c r="H137" s="5"/>
      <c r="I137" s="5"/>
    </row>
    <row r="138" spans="1:9" ht="15.75" thickBot="1">
      <c r="A138" s="41"/>
      <c r="B138" s="41"/>
      <c r="C138" s="41" t="s">
        <v>25</v>
      </c>
      <c r="D138" s="42">
        <f>SUM(D135:D137)</f>
        <v>17928.5</v>
      </c>
      <c r="E138" s="42">
        <f>SUM(E135:E137)</f>
        <v>17928.5</v>
      </c>
      <c r="F138" s="42">
        <f>SUM(F135:F137)</f>
        <v>106259.22</v>
      </c>
      <c r="G138" s="42">
        <f>SUM(G135:G137)</f>
        <v>106259.22</v>
      </c>
      <c r="H138" s="41"/>
      <c r="I138" s="41"/>
    </row>
    <row r="139" ht="15.75" thickTop="1">
      <c r="A139" s="44"/>
    </row>
    <row r="140" spans="1:6" ht="15">
      <c r="A140" s="43"/>
      <c r="D140" s="25">
        <f>+D138-E138</f>
        <v>0</v>
      </c>
      <c r="F140" s="25">
        <f>+F138-G138</f>
        <v>0</v>
      </c>
    </row>
    <row r="141" ht="15">
      <c r="A141" s="43"/>
    </row>
    <row r="142" spans="1:12" ht="15">
      <c r="A142" s="43"/>
      <c r="K142" s="25"/>
      <c r="L142" s="25"/>
    </row>
    <row r="143" ht="15">
      <c r="A143" s="43"/>
    </row>
    <row r="144" ht="15">
      <c r="A144" s="43"/>
    </row>
    <row r="145" ht="15">
      <c r="A145" s="43"/>
    </row>
    <row r="146" ht="15">
      <c r="A146" s="43"/>
    </row>
  </sheetData>
  <autoFilter ref="A6:I138"/>
  <dataValidations count="1">
    <dataValidation type="list" allowBlank="1" showInputMessage="1" showErrorMessage="1" sqref="H8:H134">
      <formula1>INDIRECT(VLOOKUP(I8,Kontovalg,2,0))</formula1>
    </dataValidation>
  </dataValidations>
  <printOptions/>
  <pageMargins left="0.31496062992125984" right="0.5118110236220472" top="0.2755905511811024" bottom="0.1968503937007874" header="0.31496062992125984" footer="0.3149606299212598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4">
      <selection activeCell="C16" sqref="C16"/>
    </sheetView>
  </sheetViews>
  <sheetFormatPr defaultColWidth="9.140625" defaultRowHeight="15"/>
  <cols>
    <col min="2" max="2" width="34.7109375" style="0" customWidth="1"/>
    <col min="4" max="4" width="35.421875" style="0" bestFit="1" customWidth="1"/>
    <col min="5" max="5" width="32.7109375" style="0" bestFit="1" customWidth="1"/>
    <col min="8" max="8" width="33.421875" style="0" customWidth="1"/>
    <col min="9" max="9" width="10.00390625" style="0" bestFit="1" customWidth="1"/>
  </cols>
  <sheetData>
    <row r="1" spans="3:4" ht="15">
      <c r="C1" s="30" t="s">
        <v>26</v>
      </c>
      <c r="D1" s="31"/>
    </row>
    <row r="2" spans="2:4" ht="15">
      <c r="B2" s="26" t="s">
        <v>19</v>
      </c>
      <c r="C2" s="32" t="s">
        <v>30</v>
      </c>
      <c r="D2" s="33" t="s">
        <v>27</v>
      </c>
    </row>
    <row r="3" spans="2:4" ht="15">
      <c r="B3" s="47">
        <f>SUM(C:C)-SUM(Bogføring!D135:G135)</f>
        <v>-11739</v>
      </c>
      <c r="C3" s="34" t="s">
        <v>31</v>
      </c>
      <c r="D3" s="35" t="s">
        <v>28</v>
      </c>
    </row>
    <row r="4" spans="2:3" ht="15">
      <c r="B4" t="s">
        <v>20</v>
      </c>
      <c r="C4" t="s">
        <v>21</v>
      </c>
    </row>
    <row r="5" spans="2:5" ht="15">
      <c r="B5" s="27" t="s">
        <v>8</v>
      </c>
      <c r="D5" s="82" t="s">
        <v>26</v>
      </c>
      <c r="E5" s="83" t="s">
        <v>32</v>
      </c>
    </row>
    <row r="6" spans="1:5" ht="15">
      <c r="A6" t="s">
        <v>5</v>
      </c>
      <c r="B6" t="s">
        <v>10</v>
      </c>
      <c r="C6" s="28">
        <f>SUMIF(Bogføring!H:H,Kontoplan!D6,Bogføring!D:D)+SUMIF(Bogføring!H:H,Kontoplan!D6,Bogføring!F:F)</f>
        <v>21750</v>
      </c>
      <c r="D6" t="str">
        <f aca="true" t="shared" si="0" ref="D6:D14">"I "&amp;B6</f>
        <v>I Kontingent</v>
      </c>
      <c r="E6" t="s">
        <v>10</v>
      </c>
    </row>
    <row r="7" spans="1:5" ht="15">
      <c r="A7" t="s">
        <v>5</v>
      </c>
      <c r="B7" t="s">
        <v>59</v>
      </c>
      <c r="C7" s="28">
        <f>SUMIF(Bogføring!H:H,Kontoplan!D7,Bogføring!D:D)+SUMIF(Bogføring!H:H,Kontoplan!D7,Bogføring!F:F)</f>
        <v>1060</v>
      </c>
      <c r="D7" t="str">
        <f t="shared" si="0"/>
        <v>I Fællesspisning</v>
      </c>
      <c r="E7" t="s">
        <v>59</v>
      </c>
    </row>
    <row r="8" spans="1:5" ht="15">
      <c r="A8" t="s">
        <v>5</v>
      </c>
      <c r="B8" t="s">
        <v>56</v>
      </c>
      <c r="C8" s="28">
        <f>SUMIF(Bogføring!H:H,Kontoplan!D8,Bogføring!D:D)+SUMIF(Bogføring!H:H,Kontoplan!D8,Bogføring!F:F)</f>
        <v>5000</v>
      </c>
      <c r="D8" t="str">
        <f t="shared" si="0"/>
        <v>I Indtægt banko+ pensioniststøttefonden</v>
      </c>
      <c r="E8" t="s">
        <v>56</v>
      </c>
    </row>
    <row r="9" spans="1:5" ht="15">
      <c r="A9" t="s">
        <v>5</v>
      </c>
      <c r="B9" t="s">
        <v>92</v>
      </c>
      <c r="C9" s="28">
        <f>SUMIF(Bogføring!H:H,Kontoplan!D9,Bogføring!D:D)+SUMIF(Bogføring!H:H,Kontoplan!D9,Bogføring!F:F)</f>
        <v>20846.75</v>
      </c>
      <c r="D9" t="str">
        <f t="shared" si="0"/>
        <v>I Ølsmagning/klostertur</v>
      </c>
      <c r="E9" t="s">
        <v>92</v>
      </c>
    </row>
    <row r="10" spans="1:5" ht="15">
      <c r="A10" t="s">
        <v>5</v>
      </c>
      <c r="B10" t="s">
        <v>62</v>
      </c>
      <c r="C10" s="28">
        <f>SUMIF(Bogføring!H:H,Kontoplan!D10,Bogføring!D:D)+SUMIF(Bogføring!H:H,Kontoplan!D10,Bogføring!F:F)</f>
        <v>0</v>
      </c>
      <c r="D10" t="str">
        <f t="shared" si="0"/>
        <v>I Mortensspil</v>
      </c>
      <c r="E10" t="s">
        <v>62</v>
      </c>
    </row>
    <row r="11" spans="1:5" ht="15">
      <c r="A11" t="s">
        <v>5</v>
      </c>
      <c r="B11" t="s">
        <v>39</v>
      </c>
      <c r="C11" s="28">
        <f>SUMIF(Bogføring!H:H,Kontoplan!D11,Bogføring!D:D)+SUMIF(Bogføring!H:H,Kontoplan!D11,Bogføring!F:F)</f>
        <v>350</v>
      </c>
      <c r="D11" t="str">
        <f t="shared" si="0"/>
        <v>I Flag</v>
      </c>
      <c r="E11" t="s">
        <v>39</v>
      </c>
    </row>
    <row r="12" spans="1:10" ht="15">
      <c r="A12" t="s">
        <v>5</v>
      </c>
      <c r="B12" t="s">
        <v>40</v>
      </c>
      <c r="C12" s="28">
        <f>SUMIF(Bogføring!H:H,Kontoplan!D12,Bogføring!D:D)+SUMIF(Bogføring!H:H,Kontoplan!D12,Bogføring!F:F)</f>
        <v>3600</v>
      </c>
      <c r="D12" t="str">
        <f t="shared" si="0"/>
        <v>I Madhold</v>
      </c>
      <c r="E12" t="s">
        <v>40</v>
      </c>
      <c r="J12" s="29"/>
    </row>
    <row r="13" spans="1:10" ht="15">
      <c r="A13" t="s">
        <v>5</v>
      </c>
      <c r="B13" t="s">
        <v>52</v>
      </c>
      <c r="C13" s="28">
        <f>SUMIF(Bogføring!H:H,Kontoplan!D13,Bogføring!D:D)+SUMIF(Bogføring!H:H,Kontoplan!D13,Bogføring!F:F)</f>
        <v>0</v>
      </c>
      <c r="D13" t="str">
        <f t="shared" si="0"/>
        <v>I Foreningsel</v>
      </c>
      <c r="E13" t="s">
        <v>52</v>
      </c>
      <c r="J13" s="29"/>
    </row>
    <row r="14" spans="1:10" ht="15">
      <c r="A14" t="s">
        <v>5</v>
      </c>
      <c r="B14" t="s">
        <v>41</v>
      </c>
      <c r="C14" s="28">
        <f>SUMIF(Bogføring!H:H,Kontoplan!D14,Bogføring!D:D)+SUMIF(Bogføring!H:H,Kontoplan!D14,Bogføring!F:F)</f>
        <v>7740.52</v>
      </c>
      <c r="D14" t="str">
        <f t="shared" si="0"/>
        <v>I Diverse indtægter</v>
      </c>
      <c r="E14" t="s">
        <v>41</v>
      </c>
      <c r="J14" s="25"/>
    </row>
    <row r="15" spans="1:10" ht="15">
      <c r="A15" t="s">
        <v>5</v>
      </c>
      <c r="B15" t="s">
        <v>42</v>
      </c>
      <c r="C15" s="28">
        <f>SUMIF(Bogføring!H:H,Kontoplan!D15,Bogføring!D:D)+SUMIF(Bogføring!H:H,Kontoplan!D15,Bogføring!F:F)</f>
        <v>0</v>
      </c>
      <c r="D15" t="str">
        <f aca="true" t="shared" si="1" ref="D15:D16">"I "&amp;B15</f>
        <v>I Renter/gebyr</v>
      </c>
      <c r="E15" t="s">
        <v>42</v>
      </c>
      <c r="J15" s="29"/>
    </row>
    <row r="16" spans="1:5" ht="15">
      <c r="A16" t="s">
        <v>5</v>
      </c>
      <c r="B16" t="s">
        <v>54</v>
      </c>
      <c r="C16" s="28">
        <f>SUMIF(Bogføring!H:H,Kontoplan!D16,Bogføring!D:D)+SUMIF(Bogføring!H:H,Kontoplan!D16,Bogføring!F:F)</f>
        <v>5598</v>
      </c>
      <c r="D16" t="str">
        <f t="shared" si="1"/>
        <v>I Udligning udlæg Lokalråd</v>
      </c>
      <c r="E16" t="s">
        <v>54</v>
      </c>
    </row>
    <row r="17" spans="9:11" ht="15">
      <c r="I17" s="29"/>
      <c r="J17" s="29"/>
      <c r="K17" s="29"/>
    </row>
    <row r="18" spans="2:11" ht="15">
      <c r="B18" s="27" t="s">
        <v>14</v>
      </c>
      <c r="I18" s="29"/>
      <c r="J18" s="29"/>
      <c r="K18" s="29"/>
    </row>
    <row r="19" spans="1:11" ht="15">
      <c r="A19" t="s">
        <v>6</v>
      </c>
      <c r="B19" t="s">
        <v>59</v>
      </c>
      <c r="C19" s="28">
        <f>SUMIF(Bogføring!H:H,Kontoplan!D19,Bogføring!E:E)+SUMIF(Bogføring!H:H,Kontoplan!D19,Bogføring!G:G)</f>
        <v>0</v>
      </c>
      <c r="D19" t="str">
        <f>"U "&amp;B19</f>
        <v>U Fællesspisning</v>
      </c>
      <c r="E19" t="s">
        <v>59</v>
      </c>
      <c r="I19" s="29"/>
      <c r="J19" s="29"/>
      <c r="K19" s="29"/>
    </row>
    <row r="20" spans="1:11" ht="15">
      <c r="A20" t="s">
        <v>6</v>
      </c>
      <c r="B20" t="s">
        <v>40</v>
      </c>
      <c r="C20" s="28">
        <f>SUMIF(Bogføring!H:H,Kontoplan!D20,Bogføring!E:E)+SUMIF(Bogføring!H:H,Kontoplan!D20,Bogføring!G:G)</f>
        <v>2500</v>
      </c>
      <c r="D20" t="str">
        <f>"U "&amp;B20</f>
        <v>U Madhold</v>
      </c>
      <c r="E20" t="s">
        <v>40</v>
      </c>
      <c r="I20" s="29"/>
      <c r="J20" s="29"/>
      <c r="K20" s="29"/>
    </row>
    <row r="21" spans="1:11" ht="15">
      <c r="A21" t="s">
        <v>6</v>
      </c>
      <c r="B21" t="s">
        <v>43</v>
      </c>
      <c r="C21" s="28">
        <f>SUMIF(Bogføring!H:H,Kontoplan!D21,Bogføring!E:E)+SUMIF(Bogføring!H:H,Kontoplan!D21,Bogføring!G:G)</f>
        <v>2430.7</v>
      </c>
      <c r="D21" t="str">
        <f aca="true" t="shared" si="2" ref="D21:D32">"U "&amp;B21</f>
        <v>U Bankospil hjemmet</v>
      </c>
      <c r="E21" t="s">
        <v>43</v>
      </c>
      <c r="I21" s="29"/>
      <c r="J21" s="29"/>
      <c r="K21" s="29"/>
    </row>
    <row r="22" spans="1:11" ht="15">
      <c r="A22" t="s">
        <v>6</v>
      </c>
      <c r="B22" t="s">
        <v>92</v>
      </c>
      <c r="C22" s="28">
        <f>SUMIF(Bogføring!H:H,Kontoplan!D22,Bogføring!E:E)+SUMIF(Bogføring!H:H,Kontoplan!D22,Bogføring!G:G)</f>
        <v>13145.75</v>
      </c>
      <c r="D22" t="str">
        <f aca="true" t="shared" si="3" ref="D22">"U "&amp;B22</f>
        <v>U Ølsmagning/klostertur</v>
      </c>
      <c r="E22" t="s">
        <v>92</v>
      </c>
      <c r="I22" s="29"/>
      <c r="J22" s="29"/>
      <c r="K22" s="29"/>
    </row>
    <row r="23" spans="1:11" ht="15">
      <c r="A23" t="s">
        <v>6</v>
      </c>
      <c r="B23" t="s">
        <v>62</v>
      </c>
      <c r="C23" s="28">
        <f>SUMIF(Bogføring!H:H,Kontoplan!D23,Bogføring!E:E)+SUMIF(Bogføring!H:H,Kontoplan!D23,Bogføring!G:G)</f>
        <v>0</v>
      </c>
      <c r="D23" t="str">
        <f aca="true" t="shared" si="4" ref="D23">"U "&amp;B23</f>
        <v>U Mortensspil</v>
      </c>
      <c r="E23" t="s">
        <v>62</v>
      </c>
      <c r="I23" s="29"/>
      <c r="J23" s="29"/>
      <c r="K23" s="29"/>
    </row>
    <row r="24" spans="1:11" ht="15">
      <c r="A24" t="s">
        <v>6</v>
      </c>
      <c r="B24" t="s">
        <v>44</v>
      </c>
      <c r="C24" s="28">
        <f>SUMIF(Bogføring!H:H,Kontoplan!D24,Bogføring!E:E)+SUMIF(Bogføring!H:H,Kontoplan!D24,Bogføring!G:G)</f>
        <v>1000</v>
      </c>
      <c r="D24" t="str">
        <f t="shared" si="2"/>
        <v>U Møder, generalforsamling</v>
      </c>
      <c r="E24" t="s">
        <v>44</v>
      </c>
      <c r="I24" s="29"/>
      <c r="J24" s="29"/>
      <c r="K24" s="29"/>
    </row>
    <row r="25" spans="1:5" ht="15">
      <c r="A25" t="s">
        <v>6</v>
      </c>
      <c r="B25" t="s">
        <v>33</v>
      </c>
      <c r="C25" s="28">
        <f>SUMIF(Bogføring!H:H,Kontoplan!D25,Bogføring!E:E)+SUMIF(Bogføring!H:H,Kontoplan!D25,Bogføring!G:G)</f>
        <v>8187.58</v>
      </c>
      <c r="D25" t="str">
        <f t="shared" si="2"/>
        <v>U Annoncer</v>
      </c>
      <c r="E25" t="s">
        <v>33</v>
      </c>
    </row>
    <row r="26" spans="1:5" ht="15">
      <c r="A26" t="s">
        <v>6</v>
      </c>
      <c r="B26" t="s">
        <v>45</v>
      </c>
      <c r="C26" s="28">
        <f>SUMIF(Bogføring!H:H,Kontoplan!D26,Bogføring!E:E)+SUMIF(Bogføring!H:H,Kontoplan!D26,Bogføring!G:G)</f>
        <v>1981.25</v>
      </c>
      <c r="D26" t="str">
        <f t="shared" si="2"/>
        <v>U Tryksager, kontorart.</v>
      </c>
      <c r="E26" t="s">
        <v>45</v>
      </c>
    </row>
    <row r="27" spans="1:9" ht="15">
      <c r="A27" t="s">
        <v>6</v>
      </c>
      <c r="B27" t="s">
        <v>46</v>
      </c>
      <c r="C27" s="28">
        <f>SUMIF(Bogføring!H:H,Kontoplan!D27,Bogføring!E:E)+SUMIF(Bogføring!H:H,Kontoplan!D27,Bogføring!G:G)</f>
        <v>2377</v>
      </c>
      <c r="D27" t="str">
        <f t="shared" si="2"/>
        <v>U Gaver mm.</v>
      </c>
      <c r="E27" t="s">
        <v>46</v>
      </c>
      <c r="I27" s="49"/>
    </row>
    <row r="28" spans="1:9" ht="15">
      <c r="A28" t="s">
        <v>6</v>
      </c>
      <c r="B28" t="s">
        <v>22</v>
      </c>
      <c r="C28" s="28">
        <f>SUMIF(Bogføring!H:H,Kontoplan!D28,Bogføring!E:E)+SUMIF(Bogføring!H:H,Kontoplan!D28,Bogføring!G:G)</f>
        <v>4753.67</v>
      </c>
      <c r="D28" t="str">
        <f t="shared" si="2"/>
        <v>U Forsikring</v>
      </c>
      <c r="E28" t="s">
        <v>22</v>
      </c>
      <c r="I28" s="49"/>
    </row>
    <row r="29" spans="1:9" ht="15">
      <c r="A29" t="s">
        <v>6</v>
      </c>
      <c r="B29" t="s">
        <v>48</v>
      </c>
      <c r="C29" s="28">
        <f>SUMIF(Bogføring!H:H,Kontoplan!D29,Bogføring!E:E)+SUMIF(Bogføring!H:H,Kontoplan!D29,Bogføring!G:G)</f>
        <v>3943.36</v>
      </c>
      <c r="D29" t="str">
        <f t="shared" si="2"/>
        <v>U Mølleskoven</v>
      </c>
      <c r="E29" t="s">
        <v>48</v>
      </c>
      <c r="I29" s="49"/>
    </row>
    <row r="30" spans="1:9" ht="15">
      <c r="A30" t="s">
        <v>6</v>
      </c>
      <c r="B30" t="s">
        <v>47</v>
      </c>
      <c r="C30" s="28">
        <f>SUMIF(Bogføring!H:H,Kontoplan!D30,Bogføring!E:E)+SUMIF(Bogføring!H:H,Kontoplan!D30,Bogføring!G:G)</f>
        <v>11422.94</v>
      </c>
      <c r="D30" t="str">
        <f t="shared" si="2"/>
        <v>U Diverse</v>
      </c>
      <c r="E30" t="s">
        <v>47</v>
      </c>
      <c r="I30" s="49"/>
    </row>
    <row r="31" spans="1:9" ht="15">
      <c r="A31" t="s">
        <v>6</v>
      </c>
      <c r="B31" t="s">
        <v>55</v>
      </c>
      <c r="C31" s="28">
        <f>SUMIF(Bogføring!H:H,Kontoplan!D31,Bogføring!E:E)+SUMIF(Bogføring!H:H,Kontoplan!D31,Bogføring!G:G)</f>
        <v>1334.1000000000001</v>
      </c>
      <c r="D31" t="str">
        <f t="shared" si="2"/>
        <v>U Gebyr</v>
      </c>
      <c r="E31" t="s">
        <v>55</v>
      </c>
      <c r="I31" s="49"/>
    </row>
    <row r="32" spans="1:9" ht="15">
      <c r="A32" t="s">
        <v>6</v>
      </c>
      <c r="B32" t="s">
        <v>53</v>
      </c>
      <c r="C32" s="28">
        <f>SUMIF(Bogføring!H:H,Kontoplan!D32,Bogføring!E:E)+SUMIF(Bogføring!H:H,Kontoplan!D32,Bogføring!G:G)</f>
        <v>4023.81</v>
      </c>
      <c r="D32" t="str">
        <f t="shared" si="2"/>
        <v>U Udlæg Lokalrådet</v>
      </c>
      <c r="E32" t="s">
        <v>53</v>
      </c>
      <c r="I32" s="49"/>
    </row>
    <row r="33" spans="3:9" ht="15">
      <c r="C33" s="28"/>
      <c r="I33" s="49"/>
    </row>
    <row r="34" spans="3:9" ht="15">
      <c r="C34" s="28"/>
      <c r="I34" s="49"/>
    </row>
    <row r="37" spans="2:3" ht="15">
      <c r="B37" t="s">
        <v>59</v>
      </c>
      <c r="C37" s="29">
        <f>+C7-C19</f>
        <v>1060</v>
      </c>
    </row>
    <row r="38" spans="2:3" ht="15">
      <c r="B38" t="s">
        <v>62</v>
      </c>
      <c r="C38" s="29">
        <f>+C10-C23</f>
        <v>0</v>
      </c>
    </row>
    <row r="39" spans="2:3" ht="15">
      <c r="B39" t="s">
        <v>66</v>
      </c>
      <c r="C39" s="29">
        <f>+C9-C22</f>
        <v>7701</v>
      </c>
    </row>
  </sheetData>
  <conditionalFormatting sqref="B3">
    <cfRule type="cellIs" priority="1" dxfId="0" operator="notEqual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B4" sqref="B4"/>
    </sheetView>
  </sheetViews>
  <sheetFormatPr defaultColWidth="9.140625" defaultRowHeight="15"/>
  <cols>
    <col min="1" max="1" width="30.8515625" style="0" customWidth="1"/>
    <col min="2" max="2" width="13.421875" style="49" customWidth="1"/>
    <col min="3" max="3" width="13.00390625" style="0" customWidth="1"/>
  </cols>
  <sheetData>
    <row r="2" ht="15">
      <c r="A2" s="70" t="s">
        <v>67</v>
      </c>
    </row>
    <row r="4" spans="1:2" ht="15">
      <c r="A4" t="s">
        <v>68</v>
      </c>
      <c r="B4" s="49">
        <f>9194+4500+7125</f>
        <v>20819</v>
      </c>
    </row>
    <row r="7" ht="15">
      <c r="A7" s="88" t="s">
        <v>14</v>
      </c>
    </row>
    <row r="8" spans="1:2" ht="15">
      <c r="A8" t="s">
        <v>69</v>
      </c>
      <c r="B8" s="49">
        <v>6162</v>
      </c>
    </row>
    <row r="9" spans="1:2" ht="15">
      <c r="A9" t="s">
        <v>70</v>
      </c>
      <c r="B9" s="49">
        <v>1875</v>
      </c>
    </row>
    <row r="10" spans="1:2" ht="15">
      <c r="A10" t="s">
        <v>71</v>
      </c>
      <c r="B10" s="49">
        <v>4740</v>
      </c>
    </row>
    <row r="11" spans="1:2" ht="15">
      <c r="A11" t="s">
        <v>72</v>
      </c>
      <c r="B11" s="49">
        <v>1009.35</v>
      </c>
    </row>
    <row r="12" spans="1:2" ht="15">
      <c r="A12" t="s">
        <v>73</v>
      </c>
      <c r="B12" s="49">
        <f>59.8+12.45-44.85</f>
        <v>27.4</v>
      </c>
    </row>
    <row r="13" spans="1:2" ht="15">
      <c r="A13" t="s">
        <v>74</v>
      </c>
      <c r="B13" s="90">
        <v>333</v>
      </c>
    </row>
    <row r="14" spans="1:2" ht="15">
      <c r="A14" t="s">
        <v>13</v>
      </c>
      <c r="B14" s="49">
        <f>SUM(B8:B13)</f>
        <v>14146.75</v>
      </c>
    </row>
    <row r="16" spans="1:2" ht="15">
      <c r="A16" s="70" t="s">
        <v>18</v>
      </c>
      <c r="B16" s="89">
        <f>+B4-B14</f>
        <v>6672.25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Bruger</dc:creator>
  <cp:keywords/>
  <dc:description/>
  <cp:lastModifiedBy>Bruger</cp:lastModifiedBy>
  <cp:lastPrinted>2020-12-12T18:10:48Z</cp:lastPrinted>
  <dcterms:created xsi:type="dcterms:W3CDTF">2012-02-07T18:01:19Z</dcterms:created>
  <dcterms:modified xsi:type="dcterms:W3CDTF">2021-09-04T06:27:20Z</dcterms:modified>
  <cp:category/>
  <cp:version/>
  <cp:contentType/>
  <cp:contentStatus/>
</cp:coreProperties>
</file>